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D49WBZpSdwY0p4eHrHcG7hvkrheXJoMNX6N0weFeyfnuhxHTWoC7gOpr8GWRpHYz1793RczqcXcUxV+qZwerPA==" workbookSaltValue="WZMn2q7n6XcnXpFcAFWs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F28" i="2" l="1"/>
  <c r="L17" i="14"/>
  <c r="BF17" i="8"/>
  <c r="U13" i="16"/>
  <c r="P13" i="14"/>
  <c r="R13" i="17"/>
  <c r="R8" i="9"/>
  <c r="AZ19" i="11" s="1"/>
  <c r="I13" i="14"/>
  <c r="BG17" i="13"/>
  <c r="BL12" i="11"/>
  <c r="BF10" i="11"/>
  <c r="BF17" i="11"/>
  <c r="V25" i="11"/>
  <c r="BF21" i="11"/>
  <c r="V11" i="16"/>
  <c r="BM17" i="11"/>
  <c r="BG10" i="11"/>
  <c r="BJ18" i="11"/>
  <c r="BJ22" i="11"/>
  <c r="BL19" i="11"/>
  <c r="AP17" i="20"/>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H9" i="16"/>
  <c r="V16" i="11"/>
  <c r="BF13" i="11"/>
  <c r="BG25" i="11"/>
  <c r="BH16" i="16"/>
  <c r="Q18" i="20"/>
  <c r="Q23" i="20" s="1"/>
  <c r="BF28" i="11"/>
  <c r="BF18" i="11"/>
  <c r="BG20" i="11"/>
  <c r="BG22" i="11"/>
  <c r="BK29" i="11"/>
  <c r="X12" i="21"/>
  <c r="T9" i="11"/>
  <c r="BH11" i="16"/>
  <c r="S20" i="14"/>
  <c r="V20" i="14" s="1"/>
  <c r="BK13" i="11"/>
  <c r="BH16" i="11"/>
  <c r="BH19" i="16"/>
  <c r="P18" i="17"/>
  <c r="BM29" i="11"/>
  <c r="BF29" i="11"/>
  <c r="BH19" i="11"/>
  <c r="BK19" i="11"/>
  <c r="BK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Q16" i="11" s="1"/>
  <c r="BF25" i="11"/>
  <c r="AZ18" i="11"/>
  <c r="BJ11" i="11"/>
  <c r="BH22" i="16"/>
  <c r="BU10" i="17"/>
  <c r="BU20" i="17"/>
  <c r="BV9" i="16"/>
  <c r="BI20" i="11"/>
  <c r="BH21" i="11"/>
  <c r="BK20" i="11"/>
  <c r="BJ10" i="11"/>
  <c r="Q16" i="17"/>
  <c r="BH17" i="11"/>
  <c r="BI22" i="11"/>
  <c r="BK10" i="11"/>
  <c r="L10" i="2"/>
  <c r="L16" i="2"/>
  <c r="AA11" i="16"/>
  <c r="BF11" i="11"/>
  <c r="BL9" i="11"/>
  <c r="Q9" i="11" s="1"/>
  <c r="BF19" i="11"/>
  <c r="BL18" i="11"/>
  <c r="BK12" i="11"/>
  <c r="S18" i="16"/>
  <c r="BK21" i="11"/>
  <c r="V11" i="11"/>
  <c r="BI25" i="11"/>
  <c r="BM12" i="11"/>
  <c r="V13" i="11"/>
  <c r="V9" i="11"/>
  <c r="BI19" i="11"/>
  <c r="BJ16" i="11"/>
  <c r="AP22" i="20"/>
  <c r="AP16" i="20"/>
  <c r="R25" i="14"/>
  <c r="V20" i="11"/>
  <c r="BL25" i="11"/>
  <c r="BG19" i="11"/>
  <c r="AZ9" i="11"/>
  <c r="BL29" i="11"/>
  <c r="T16" i="16"/>
  <c r="BW20" i="20"/>
  <c r="BV19" i="16"/>
  <c r="BV18" i="16"/>
  <c r="BW18" i="20"/>
  <c r="BV12" i="16"/>
  <c r="BW12" i="20"/>
  <c r="BV16" i="16"/>
  <c r="BW16" i="20"/>
  <c r="U10" i="17"/>
  <c r="BV10" i="16"/>
  <c r="BU18" i="17"/>
  <c r="V12" i="16"/>
  <c r="BU12" i="17"/>
  <c r="BU33" i="17" s="1"/>
  <c r="S28" i="17"/>
  <c r="T16" i="11"/>
  <c r="Q18" i="17"/>
  <c r="BH10"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H21" i="16"/>
  <c r="BH18" i="16"/>
  <c r="BJ19" i="11"/>
  <c r="BI28" i="11"/>
  <c r="AZ29" i="11"/>
  <c r="V12" i="21"/>
  <c r="BK11" i="11"/>
  <c r="AP10" i="21"/>
  <c r="AP21" i="20"/>
  <c r="BH20" i="16"/>
  <c r="R10" i="21"/>
  <c r="BJ20" i="11"/>
  <c r="BG16" i="11"/>
  <c r="BH13" i="11"/>
  <c r="BL13" i="11"/>
  <c r="BH18" i="11"/>
  <c r="BM16" i="11"/>
  <c r="AO28" i="17"/>
  <c r="BJ25" i="11"/>
  <c r="AZ16" i="11"/>
  <c r="AZ23" i="11" s="1"/>
  <c r="AZ26" i="11" s="1"/>
  <c r="BU16" i="17"/>
  <c r="BW19" i="20"/>
  <c r="X20" i="16"/>
  <c r="BW25" i="20"/>
  <c r="BU22" i="17"/>
  <c r="U13" i="17"/>
  <c r="BW29" i="20"/>
  <c r="BW22" i="20"/>
  <c r="BV29" i="16"/>
  <c r="BW21" i="20"/>
  <c r="AZ17" i="11"/>
  <c r="BG12" i="11"/>
  <c r="BI9" i="11"/>
  <c r="BH25" i="16"/>
  <c r="AZ25" i="11"/>
  <c r="AZ30" i="11" s="1"/>
  <c r="BK17" i="11"/>
  <c r="BM18" i="11"/>
  <c r="BF16" i="11"/>
  <c r="BF23" i="11" s="1"/>
  <c r="BL22" i="11"/>
  <c r="AQ12" i="21"/>
  <c r="BH25" i="11"/>
  <c r="BI21" i="11"/>
  <c r="L28" i="2"/>
  <c r="X21" i="20"/>
  <c r="L17" i="2"/>
  <c r="L18" i="2"/>
  <c r="X16" i="16"/>
  <c r="X23" i="16" s="1"/>
  <c r="L9" i="2"/>
  <c r="V25" i="16"/>
  <c r="X12"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S31" i="16"/>
  <c r="AA31" i="11"/>
  <c r="R14" i="21"/>
  <c r="R31" i="21" s="1"/>
  <c r="AZ31" i="11"/>
  <c r="AZ14" i="11"/>
  <c r="Q25" i="11"/>
  <c r="P23" i="17"/>
  <c r="P31" i="17" s="1"/>
  <c r="BJ23" i="11"/>
  <c r="S23" i="16"/>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<sst xmlns="http://schemas.openxmlformats.org/spreadsheetml/2006/main" count="2682" uniqueCount="1193">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</sst>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4UCKcwmU+zTUv7bWFysaBEQTfSI6GsJv5vAGxfbYe9vsIGB6Q1r6CSa1sne9VQ3jA2DjCuto0H7oiHdr23bTQ==" saltValue="CvAeUkMXKSrJWFTtz3I8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14</v>
      </c>
      <c r="F10" s="240">
        <f>IF(ISNUMBER(Datos!K10),Datos!K10," - ")</f>
        <v>13</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7.615384615384615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22.988023952095809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14</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364</v>
      </c>
      <c r="D17" s="239">
        <f>IF(ISNUMBER(IF(D_I="SI",Datos!I17,Datos!I17+Datos!AC17)),IF(D_I="SI",Datos!I17,Datos!I17+Datos!AC17)," - ")</f>
        <v>354</v>
      </c>
      <c r="E17" s="240">
        <f>IF(ISNUMBER(IF(D_I="SI",Datos!J17,Datos!J17+Datos!AD17)),IF(D_I="SI",Datos!J17,Datos!J17+Datos!AD17)," - ")</f>
        <v>481</v>
      </c>
      <c r="F17" s="240">
        <f>IF(ISNUMBER(IF(D_I="SI",Datos!K17,Datos!K17+Datos!AE17)),IF(D_I="SI",Datos!K17,Datos!K17+Datos!AE17)," - ")</f>
        <v>408</v>
      </c>
      <c r="G17" s="1390" t="str">
        <f>IF(Datos!E17&lt;&gt;"",Datos!E17,Datos!D17)</f>
        <v>04</v>
      </c>
      <c r="H17" s="241">
        <f>IF(ISNUMBER(IF(D_I="SI",Datos!L17,Datos!L17+Datos!AF17)),IF(D_I="SI",Datos!L17,Datos!L17+Datos!AF17)," - ")</f>
        <v>437</v>
      </c>
      <c r="I17" s="1400" t="str">
        <f>IF(ISNUMBER(Datos!AS17/Datos!BM17),Datos!AS17/Datos!BM17," - ")</f>
        <v xml:space="preserve"> - </v>
      </c>
      <c r="J17" s="1401">
        <f>IF(ISNUMBER(Datos!BY17/Datos!CN17),Datos!BY17/Datos!CN17," - ")</f>
        <v>0</v>
      </c>
      <c r="K17" s="244">
        <f t="shared" si="3"/>
        <v>0.20054945054945056</v>
      </c>
      <c r="L17" s="1402">
        <f>IF(ISNUMBER(NºAsuntos!I17/NºAsuntos!G17),(NºAsuntos!I17/NºAsuntos!G17)*11," - ")</f>
        <v>11.781862745098039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33</v>
      </c>
      <c r="F18" s="240">
        <f>IF(ISNUMBER(IF(D_I="SI",Datos!K18,Datos!K18+Datos!AE18)),IF(D_I="SI",Datos!K18,Datos!K18+Datos!AE18)," - ")</f>
        <v>30</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4.0333333333333332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372</v>
      </c>
      <c r="D23" s="1407">
        <f>SUBTOTAL(9,D16:D22)</f>
        <v>362</v>
      </c>
      <c r="E23" s="1408">
        <f>SUBTOTAL(9,E16:E22)</f>
        <v>514</v>
      </c>
      <c r="F23" s="1408">
        <f>SUBTOTAL(9,F16:F22)</f>
        <v>438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380</v>
      </c>
      <c r="D31" s="1435">
        <f>SUBTOTAL(9,D9:D30)</f>
        <v>370</v>
      </c>
      <c r="E31" s="1436">
        <f>SUBTOTAL(9,E9:E30)</f>
        <v>528</v>
      </c>
      <c r="F31" s="1436">
        <f>SUBTOTAL(9,F9:F30)</f>
        <v>451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DJ1px3CYq5h7eLthBw6kRm3aZGvwGfc9bRuCIvbWRNiNesCLrPNFHbxdxFLCOKkRCzv1mvDLVOED5MVN/Xmew==" saltValue="XVK0YZbn4NaaVVjQDBn00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HRw9YytLEg/3qXQK7/F23iCpF9vcmgh894+2aAyiJUt2bIXNP106Ar0ddbRkz40OhHhnOqQMHo8YQCp1t6kPw==" saltValue="IqC7Gt7eAteE+BSzW85V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14</v>
      </c>
      <c r="K10" s="194">
        <v>13</v>
      </c>
      <c r="L10" s="194">
        <v>9</v>
      </c>
      <c r="M10" s="194">
        <v>6</v>
      </c>
      <c r="N10" s="194">
        <v>6</v>
      </c>
      <c r="O10" s="194">
        <v>0</v>
      </c>
      <c r="P10" s="194">
        <v>4</v>
      </c>
      <c r="Q10" s="194">
        <v>0</v>
      </c>
      <c r="R10" s="194">
        <v>5</v>
      </c>
      <c r="S10" s="194">
        <v>4</v>
      </c>
      <c r="T10" s="194">
        <v>2</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518</v>
      </c>
      <c r="J12" s="196">
        <v>442</v>
      </c>
      <c r="K12" s="196">
        <v>311</v>
      </c>
      <c r="L12" s="196">
        <v>655</v>
      </c>
      <c r="M12" s="196">
        <v>46</v>
      </c>
      <c r="N12" s="196">
        <v>160</v>
      </c>
      <c r="O12" s="194">
        <v>139</v>
      </c>
      <c r="P12" s="196">
        <v>119</v>
      </c>
      <c r="Q12" s="196">
        <v>166</v>
      </c>
      <c r="R12" s="196">
        <v>1312</v>
      </c>
      <c r="S12" s="196">
        <v>438</v>
      </c>
      <c r="T12" s="196">
        <v>796</v>
      </c>
      <c r="U12" s="196">
        <v>761</v>
      </c>
      <c r="V12" s="196">
        <v>474</v>
      </c>
      <c r="W12" s="196">
        <v>53</v>
      </c>
      <c r="X12" s="202">
        <v>108</v>
      </c>
      <c r="Y12" s="204">
        <v>15</v>
      </c>
      <c r="Z12" s="194">
        <v>51</v>
      </c>
      <c r="AA12" s="194">
        <v>23</v>
      </c>
      <c r="AB12" s="194">
        <v>43</v>
      </c>
      <c r="AC12" s="196">
        <v>0</v>
      </c>
      <c r="AD12" s="196">
        <v>0</v>
      </c>
      <c r="AE12" s="196">
        <v>0</v>
      </c>
      <c r="AF12" s="202">
        <v>0</v>
      </c>
      <c r="AG12" s="215">
        <v>10</v>
      </c>
      <c r="AH12" s="196">
        <v>54</v>
      </c>
      <c r="AI12" s="196">
        <v>52</v>
      </c>
      <c r="AJ12" s="216">
        <v>12</v>
      </c>
      <c r="AK12" s="195">
        <v>0</v>
      </c>
      <c r="AL12" s="196">
        <v>0</v>
      </c>
      <c r="AM12" s="196">
        <v>0</v>
      </c>
      <c r="AN12" s="202">
        <v>0</v>
      </c>
      <c r="AO12" s="283">
        <v>2</v>
      </c>
      <c r="AP12" s="168">
        <v>2</v>
      </c>
      <c r="AQ12" s="168">
        <v>2</v>
      </c>
      <c r="AR12" s="167">
        <v>2</v>
      </c>
      <c r="AS12" s="381" t="s">
        <v>1075</v>
      </c>
      <c r="AT12" s="216"/>
      <c r="AU12" s="215"/>
      <c r="AV12" s="216"/>
      <c r="AW12" s="215"/>
      <c r="AX12" s="216"/>
      <c r="AY12" s="136">
        <f t="shared" si="1"/>
        <v>448</v>
      </c>
      <c r="AZ12" s="137">
        <f t="shared" si="1"/>
        <v>850</v>
      </c>
      <c r="BA12" s="137">
        <f t="shared" si="1"/>
        <v>813</v>
      </c>
      <c r="BB12" s="137">
        <f t="shared" si="1"/>
        <v>486</v>
      </c>
      <c r="BC12" s="135">
        <f>IF(ISNUMBER(X12),X12," - ")</f>
        <v>108</v>
      </c>
      <c r="BD12" s="136">
        <f t="shared" si="2"/>
        <v>0.95647058823529407</v>
      </c>
      <c r="BE12" s="137">
        <f t="shared" si="3"/>
        <v>0.59778597785977861</v>
      </c>
      <c r="BF12" s="137">
        <f t="shared" si="4"/>
        <v>0.13284132841328414</v>
      </c>
      <c r="BG12" s="209">
        <f t="shared" si="5"/>
        <v>1.5965559655596555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526</v>
      </c>
      <c r="J14" s="197">
        <f t="shared" si="7"/>
        <v>456</v>
      </c>
      <c r="K14" s="197">
        <f t="shared" si="7"/>
        <v>324</v>
      </c>
      <c r="L14" s="197">
        <f t="shared" si="7"/>
        <v>664</v>
      </c>
      <c r="M14" s="197">
        <f t="shared" si="7"/>
        <v>52</v>
      </c>
      <c r="N14" s="197">
        <f t="shared" si="7"/>
        <v>166</v>
      </c>
      <c r="O14" s="197">
        <f t="shared" si="7"/>
        <v>139</v>
      </c>
      <c r="P14" s="197">
        <f t="shared" si="7"/>
        <v>123</v>
      </c>
      <c r="Q14" s="197">
        <f t="shared" si="7"/>
        <v>166</v>
      </c>
      <c r="R14" s="197">
        <f t="shared" si="7"/>
        <v>1317</v>
      </c>
      <c r="S14" s="197">
        <f t="shared" si="7"/>
        <v>442</v>
      </c>
      <c r="T14" s="197">
        <f t="shared" si="7"/>
        <v>798</v>
      </c>
      <c r="U14" s="197">
        <f t="shared" si="7"/>
        <v>761</v>
      </c>
      <c r="V14" s="197">
        <f t="shared" si="7"/>
        <v>480</v>
      </c>
      <c r="W14" s="197">
        <f t="shared" si="7"/>
        <v>53</v>
      </c>
      <c r="X14" s="197">
        <f t="shared" si="7"/>
        <v>108</v>
      </c>
      <c r="Y14" s="197">
        <f t="shared" si="7"/>
        <v>15</v>
      </c>
      <c r="Z14" s="197">
        <f t="shared" si="7"/>
        <v>51</v>
      </c>
      <c r="AA14" s="197">
        <f t="shared" si="7"/>
        <v>23</v>
      </c>
      <c r="AB14" s="197">
        <f t="shared" si="7"/>
        <v>43</v>
      </c>
      <c r="AC14" s="197">
        <f t="shared" si="7"/>
        <v>0</v>
      </c>
      <c r="AD14" s="197">
        <f t="shared" si="7"/>
        <v>0</v>
      </c>
      <c r="AE14" s="197">
        <f t="shared" si="7"/>
        <v>0</v>
      </c>
      <c r="AF14" s="197">
        <f>SUBTOTAL(9,AF9:AF13)</f>
        <v>0</v>
      </c>
      <c r="AG14" s="197">
        <f t="shared" ref="AG14:AT14" si="8">SUBTOTAL(9,AG8:AG13)</f>
        <v>10</v>
      </c>
      <c r="AH14" s="197">
        <f t="shared" si="8"/>
        <v>54</v>
      </c>
      <c r="AI14" s="197">
        <f t="shared" si="8"/>
        <v>52</v>
      </c>
      <c r="AJ14" s="197">
        <f t="shared" si="8"/>
        <v>12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452</v>
      </c>
      <c r="AZ14" s="197">
        <f>SUBTOTAL(9,AZ8:AZ13)</f>
        <v>852</v>
      </c>
      <c r="BA14" s="197">
        <f>SUBTOTAL(9,BA8:BA13)</f>
        <v>813</v>
      </c>
      <c r="BB14" s="197">
        <f>SUBTOTAL(9,BB8:BB13)</f>
        <v>492</v>
      </c>
      <c r="BC14" s="197">
        <f>SUBTOTAL(9,BC8:BC13)</f>
        <v>108</v>
      </c>
      <c r="BD14" s="219">
        <f>IF(ISNUMBER(BA14/AZ14),BA14/AZ14," - ")</f>
        <v>0.95422535211267601</v>
      </c>
      <c r="BE14" s="220">
        <f>IF(ISNUMBER(BB14/BA14),BB14/BA14, " - ")</f>
        <v>0.60516605166051662</v>
      </c>
      <c r="BF14" s="220">
        <f>IF(ISNUMBER(BC14/BA14),BC14/BA14, " - ")</f>
        <v>0.13284132841328414</v>
      </c>
      <c r="BG14" s="221">
        <f>IF(ISNUMBER((AY14+AZ14)/BA14),(AY14+AZ14)/BA14," - ")</f>
        <v>1.6039360393603936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354</v>
      </c>
      <c r="J17" s="196">
        <v>481</v>
      </c>
      <c r="K17" s="196">
        <v>408</v>
      </c>
      <c r="L17" s="196">
        <v>437</v>
      </c>
      <c r="M17" s="196">
        <v>31</v>
      </c>
      <c r="N17" s="196">
        <v>249</v>
      </c>
      <c r="O17" s="194">
        <v>0</v>
      </c>
      <c r="P17" s="196">
        <v>7</v>
      </c>
      <c r="Q17" s="196">
        <v>4</v>
      </c>
      <c r="R17" s="196">
        <v>60</v>
      </c>
      <c r="S17" s="196">
        <v>234</v>
      </c>
      <c r="T17" s="196">
        <v>492</v>
      </c>
      <c r="U17" s="196">
        <v>406</v>
      </c>
      <c r="V17" s="196">
        <v>325</v>
      </c>
      <c r="W17" s="196">
        <v>26</v>
      </c>
      <c r="X17" s="202">
        <v>202</v>
      </c>
      <c r="Y17" s="215">
        <v>0</v>
      </c>
      <c r="Z17" s="196">
        <v>0</v>
      </c>
      <c r="AA17" s="196">
        <v>0</v>
      </c>
      <c r="AB17" s="196">
        <v>0</v>
      </c>
      <c r="AC17" s="196">
        <v>2</v>
      </c>
      <c r="AD17" s="196">
        <v>16</v>
      </c>
      <c r="AE17" s="196">
        <v>16</v>
      </c>
      <c r="AF17" s="202">
        <v>2</v>
      </c>
      <c r="AG17" s="215">
        <v>0</v>
      </c>
      <c r="AH17" s="196">
        <v>0</v>
      </c>
      <c r="AI17" s="196">
        <v>0</v>
      </c>
      <c r="AJ17" s="216">
        <v>0</v>
      </c>
      <c r="AK17" s="195">
        <v>22</v>
      </c>
      <c r="AL17" s="196">
        <v>23</v>
      </c>
      <c r="AM17" s="196">
        <v>11</v>
      </c>
      <c r="AN17" s="202">
        <v>34</v>
      </c>
      <c r="AO17" s="283">
        <v>2</v>
      </c>
      <c r="AP17" s="168">
        <v>2</v>
      </c>
      <c r="AQ17" s="168">
        <v>2</v>
      </c>
      <c r="AR17" s="168">
        <v>2</v>
      </c>
      <c r="AS17" s="381" t="s">
        <v>650</v>
      </c>
      <c r="AT17" s="216"/>
      <c r="AU17" s="215"/>
      <c r="AV17" s="216"/>
      <c r="AW17" s="215"/>
      <c r="AX17" s="216"/>
      <c r="AY17" s="136">
        <f t="shared" si="10"/>
        <v>234</v>
      </c>
      <c r="AZ17" s="137">
        <f t="shared" si="10"/>
        <v>492</v>
      </c>
      <c r="BA17" s="137">
        <f t="shared" si="10"/>
        <v>406</v>
      </c>
      <c r="BB17" s="137">
        <f t="shared" si="10"/>
        <v>325</v>
      </c>
      <c r="BC17" s="135">
        <f>IF(ISNUMBER(W17),W17," - ")</f>
        <v>26</v>
      </c>
      <c r="BD17" s="136">
        <f t="shared" ref="BD17:BD22" si="12">IF(ISNUMBER(BA17/AZ17),BA17/AZ17," - ")</f>
        <v>0.82520325203252032</v>
      </c>
      <c r="BE17" s="137">
        <f t="shared" ref="BE17:BE22" si="13">IF(ISNUMBER(BB17/BA17),BB17/BA17, " - ")</f>
        <v>0.80049261083743839</v>
      </c>
      <c r="BF17" s="137">
        <f t="shared" ref="BF17:BF22" si="14">IF(ISNUMBER(BC17/BA17),BC17/BA17, " - ")</f>
        <v>6.4039408866995079E-2</v>
      </c>
      <c r="BG17" s="209">
        <f t="shared" si="11"/>
        <v>1.7881773399014778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33</v>
      </c>
      <c r="K18" s="196">
        <v>30</v>
      </c>
      <c r="L18" s="196">
        <v>11</v>
      </c>
      <c r="M18" s="196">
        <v>3</v>
      </c>
      <c r="N18" s="196">
        <v>21</v>
      </c>
      <c r="O18" s="196">
        <v>0</v>
      </c>
      <c r="P18" s="196">
        <v>0</v>
      </c>
      <c r="Q18" s="196">
        <v>0</v>
      </c>
      <c r="R18" s="196">
        <v>2</v>
      </c>
      <c r="S18" s="196">
        <v>30</v>
      </c>
      <c r="T18" s="196">
        <v>33</v>
      </c>
      <c r="U18" s="196">
        <v>29</v>
      </c>
      <c r="V18" s="196">
        <v>34</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33</v>
      </c>
      <c r="BA18" s="139">
        <f t="shared" si="15"/>
        <v>29</v>
      </c>
      <c r="BB18" s="139">
        <f t="shared" si="15"/>
        <v>34</v>
      </c>
      <c r="BC18" s="135">
        <f>IF(ISNUMBER(W18),W18," - ")</f>
        <v>1</v>
      </c>
      <c r="BD18" s="136">
        <f>IF(ISNUMBER(BA18/AZ18),BA18/AZ18," - ")</f>
        <v>0.87878787878787878</v>
      </c>
      <c r="BE18" s="137">
        <f>IF(ISNUMBER(BB18/BA18),BB18/BA18, " - ")</f>
        <v>1.1724137931034482</v>
      </c>
      <c r="BF18" s="137">
        <f>IF(ISNUMBER(BC18/BA18),BC18/BA18, " - ")</f>
        <v>3.4482758620689655E-2</v>
      </c>
      <c r="BG18" s="209">
        <f>IF(ISNUMBER((AY18+AZ18)/BA18),(AY18+AZ18)/BA18," - ")</f>
        <v>2.1724137931034484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362</v>
      </c>
      <c r="J23" s="197">
        <f t="shared" si="21"/>
        <v>514</v>
      </c>
      <c r="K23" s="197">
        <f t="shared" si="21"/>
        <v>438</v>
      </c>
      <c r="L23" s="197">
        <f t="shared" si="21"/>
        <v>448</v>
      </c>
      <c r="M23" s="197">
        <f t="shared" si="21"/>
        <v>34</v>
      </c>
      <c r="N23" s="197">
        <f t="shared" si="21"/>
        <v>270</v>
      </c>
      <c r="O23" s="197">
        <f t="shared" si="21"/>
        <v>0</v>
      </c>
      <c r="P23" s="197">
        <f t="shared" si="21"/>
        <v>7</v>
      </c>
      <c r="Q23" s="197">
        <f t="shared" si="21"/>
        <v>4</v>
      </c>
      <c r="R23" s="197">
        <f t="shared" si="21"/>
        <v>62</v>
      </c>
      <c r="S23" s="197">
        <f t="shared" si="21"/>
        <v>264</v>
      </c>
      <c r="T23" s="197">
        <f t="shared" si="21"/>
        <v>525</v>
      </c>
      <c r="U23" s="197">
        <f t="shared" si="21"/>
        <v>435</v>
      </c>
      <c r="V23" s="197">
        <f t="shared" si="21"/>
        <v>359</v>
      </c>
      <c r="W23" s="197">
        <f t="shared" si="21"/>
        <v>27</v>
      </c>
      <c r="X23" s="197">
        <f t="shared" si="21"/>
        <v>221</v>
      </c>
      <c r="Y23" s="197">
        <f t="shared" si="21"/>
        <v>0</v>
      </c>
      <c r="Z23" s="197">
        <f t="shared" si="21"/>
        <v>0</v>
      </c>
      <c r="AA23" s="197">
        <f t="shared" si="21"/>
        <v>0</v>
      </c>
      <c r="AB23" s="197">
        <f t="shared" si="21"/>
        <v>0</v>
      </c>
      <c r="AC23" s="197">
        <f t="shared" si="21"/>
        <v>2</v>
      </c>
      <c r="AD23" s="197">
        <f t="shared" si="21"/>
        <v>16</v>
      </c>
      <c r="AE23" s="197">
        <f t="shared" si="21"/>
        <v>16</v>
      </c>
      <c r="AF23" s="197">
        <f t="shared" si="21"/>
        <v>2</v>
      </c>
      <c r="AG23" s="197">
        <f t="shared" si="21"/>
        <v>0</v>
      </c>
      <c r="AH23" s="197">
        <f t="shared" si="21"/>
        <v>0</v>
      </c>
      <c r="AI23" s="197">
        <f t="shared" si="21"/>
        <v>0</v>
      </c>
      <c r="AJ23" s="197">
        <f t="shared" si="21"/>
        <v>0</v>
      </c>
      <c r="AK23" s="197">
        <f t="shared" si="21"/>
        <v>22</v>
      </c>
      <c r="AL23" s="197">
        <f t="shared" si="21"/>
        <v>23</v>
      </c>
      <c r="AM23" s="197">
        <f t="shared" si="21"/>
        <v>11</v>
      </c>
      <c r="AN23" s="197">
        <f t="shared" si="21"/>
        <v>34</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264</v>
      </c>
      <c r="AZ23" s="197">
        <f>SUBTOTAL(9,AZ15:AZ22)</f>
        <v>525</v>
      </c>
      <c r="BA23" s="197">
        <f>SUBTOTAL(9,BA15:BA22)</f>
        <v>435</v>
      </c>
      <c r="BB23" s="197">
        <f>SUBTOTAL(9,BB15:BB22)</f>
        <v>359</v>
      </c>
      <c r="BC23" s="197">
        <f>SUBTOTAL(9,BC15:BC22)</f>
        <v>27</v>
      </c>
      <c r="BD23" s="219">
        <f>IF(ISNUMBER(BA23/AZ23),BA23/AZ23," - ")</f>
        <v>0.82857142857142863</v>
      </c>
      <c r="BE23" s="220">
        <f>IF(ISNUMBER(BB23/BA23),BB23/BA23, " - ")</f>
        <v>0.82528735632183903</v>
      </c>
      <c r="BF23" s="220">
        <f>IF(ISNUMBER(BC23/BA23),BC23/BA23, " - ")</f>
        <v>6.2068965517241378E-2</v>
      </c>
      <c r="BG23" s="221">
        <f>IF(ISNUMBER((AY23+AZ23)/BA23),(AY23+AZ23)/BA23," - ")</f>
        <v>1.8137931034482759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888</v>
      </c>
      <c r="J31" s="144">
        <f t="shared" si="36"/>
        <v>970</v>
      </c>
      <c r="K31" s="144">
        <f t="shared" si="36"/>
        <v>762</v>
      </c>
      <c r="L31" s="144">
        <f t="shared" si="36"/>
        <v>1112</v>
      </c>
      <c r="M31" s="144">
        <f t="shared" si="36"/>
        <v>86</v>
      </c>
      <c r="N31" s="144">
        <f t="shared" si="36"/>
        <v>436</v>
      </c>
      <c r="O31" s="144">
        <f t="shared" si="36"/>
        <v>139</v>
      </c>
      <c r="P31" s="144">
        <f t="shared" si="36"/>
        <v>130</v>
      </c>
      <c r="Q31" s="144">
        <f t="shared" si="36"/>
        <v>170</v>
      </c>
      <c r="R31" s="144">
        <f t="shared" si="36"/>
        <v>1379</v>
      </c>
      <c r="S31" s="144">
        <f t="shared" si="36"/>
        <v>706</v>
      </c>
      <c r="T31" s="144">
        <f t="shared" si="36"/>
        <v>1323</v>
      </c>
      <c r="U31" s="144">
        <f t="shared" si="36"/>
        <v>1196</v>
      </c>
      <c r="V31" s="144">
        <f t="shared" si="36"/>
        <v>839</v>
      </c>
      <c r="W31" s="144">
        <f t="shared" si="36"/>
        <v>80</v>
      </c>
      <c r="X31" s="144">
        <f t="shared" si="36"/>
        <v>329</v>
      </c>
      <c r="Y31" s="144">
        <f t="shared" si="36"/>
        <v>15</v>
      </c>
      <c r="Z31" s="144">
        <f t="shared" si="36"/>
        <v>51</v>
      </c>
      <c r="AA31" s="144">
        <f t="shared" si="36"/>
        <v>23</v>
      </c>
      <c r="AB31" s="144">
        <f t="shared" si="36"/>
        <v>43</v>
      </c>
      <c r="AC31" s="144">
        <f t="shared" si="36"/>
        <v>2</v>
      </c>
      <c r="AD31" s="144">
        <f t="shared" si="36"/>
        <v>16</v>
      </c>
      <c r="AE31" s="144">
        <f t="shared" si="36"/>
        <v>16</v>
      </c>
      <c r="AF31" s="144">
        <f t="shared" si="36"/>
        <v>2</v>
      </c>
      <c r="AG31" s="144">
        <f t="shared" si="36"/>
        <v>10</v>
      </c>
      <c r="AH31" s="144">
        <f t="shared" si="36"/>
        <v>54</v>
      </c>
      <c r="AI31" s="144">
        <f t="shared" si="36"/>
        <v>52</v>
      </c>
      <c r="AJ31" s="144">
        <f t="shared" si="36"/>
        <v>12</v>
      </c>
      <c r="AK31" s="144">
        <f t="shared" si="36"/>
        <v>22</v>
      </c>
      <c r="AL31" s="144">
        <f t="shared" si="36"/>
        <v>23</v>
      </c>
      <c r="AM31" s="144">
        <f t="shared" si="36"/>
        <v>11</v>
      </c>
      <c r="AN31" s="224">
        <f t="shared" si="36"/>
        <v>34</v>
      </c>
      <c r="AO31" s="225">
        <v>3</v>
      </c>
      <c r="AP31" s="225">
        <v>2</v>
      </c>
      <c r="AQ31" s="225">
        <v>2</v>
      </c>
      <c r="AR31" s="225">
        <v>2</v>
      </c>
      <c r="AS31" s="166">
        <f t="shared" si="36"/>
        <v>0</v>
      </c>
      <c r="AT31" s="166">
        <f t="shared" si="36"/>
        <v>0</v>
      </c>
      <c r="AU31" s="225"/>
      <c r="AV31" s="226"/>
      <c r="AW31" s="225"/>
      <c r="AX31" s="226"/>
      <c r="AY31" s="143">
        <f>SUBTOTAL(9,AY9:AY30)</f>
        <v>716</v>
      </c>
      <c r="AZ31" s="144">
        <f>SUBTOTAL(9,AZ9:AZ30)</f>
        <v>1377</v>
      </c>
      <c r="BA31" s="144">
        <f>SUBTOTAL(9,BA9:BA30)</f>
        <v>1248</v>
      </c>
      <c r="BB31" s="144">
        <f>SUBTOTAL(9,BB9:BB30)</f>
        <v>851</v>
      </c>
      <c r="BC31" s="145">
        <f>SUBTOTAL(9,BC9:BC30)</f>
        <v>135</v>
      </c>
      <c r="BD31" s="227">
        <f>IF(ISNUMBER(BA31/AZ31),BA31/AZ31," - ")</f>
        <v>0.90631808278867099</v>
      </c>
      <c r="BE31" s="224">
        <f>IF(ISNUMBER(BB31/BA31),BB31/BA31, " - ")</f>
        <v>0.68189102564102566</v>
      </c>
      <c r="BF31" s="224">
        <f>IF(ISNUMBER(BC31/BA31),BC31/BA31, " - ")</f>
        <v>0.10817307692307693</v>
      </c>
      <c r="BG31" s="145">
        <f>IF(ISNUMBER((AY31+AZ31)/BA31),(AY31+AZ31)/BA31," - ")</f>
        <v>1.6770833333333333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GXmvBA/628lal5dZxX+DSnthXQaHq1puG7GsMQusc4JK225d0Y26iRSpgy5lEAs5du5P+k7wXBjybn6JA8A==" saltValue="l0WU01qtGZxJ39v/c2PSF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lbl+pMREkthq2CRoD1ugC9hUJyNFCf3jxbppwQqo4VXfusdKzTcRiWzzyh9ocm4G7pzZpZtLv5qHO5e6yMqkw==" saltValue="QplbWlUiwPN7n+Br2fIi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LA ALMUNIA DE DOÑA GODINA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9</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6</v>
      </c>
      <c r="BE10" s="693" t="str">
        <f>IF(ISNUMBER(Datos!BW10),Datos!BW10," - ")</f>
        <v xml:space="preserve"> - </v>
      </c>
      <c r="BF10" s="762" t="str">
        <f>IF(ISNUMBER(Datos!BX10),Datos!BX10," - ")</f>
        <v xml:space="preserve"> - </v>
      </c>
      <c r="BG10" s="763">
        <f>IF(ISNUMBER(Datos!K10/Datos!J10),Datos!K10/Datos!J10," - ")</f>
        <v>0.9285714285714286</v>
      </c>
      <c r="BH10" s="764">
        <f>IF(ISNUMBER(((Datos!L10/Datos!K10)*11)/factor_trimestre),((Datos!L10/Datos!K10)*11)/factor_trimestre," - ")</f>
        <v>1.3846153846153846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119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1312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v>
      </c>
      <c r="BD12" s="693">
        <f>IF(ISNUMBER(Datos!N12),Datos!N12," - ")</f>
        <v>160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0.67748478701825554</v>
      </c>
      <c r="BH12" s="764">
        <f>IF(ISNUMBER(((IF(J_V="SI",Datos!L12/Datos!K12,(Datos!L12+Datos!AB12)/(Datos!K12+Datos!AA12)))*11)/factor_trimestre),((IF(J_V="SI",Datos!L12/Datos!K12,(Datos!L12+Datos!AB12)/(Datos!K12+Datos!AA12)))*11)/factor_trimestre," - ")</f>
        <v>4.1796407185628741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-3.4584253127299486E-2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123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166</v>
      </c>
      <c r="AD14" s="1198">
        <f t="shared" si="2"/>
        <v>0</v>
      </c>
      <c r="AE14" s="1198">
        <f t="shared" si="2"/>
        <v>0</v>
      </c>
      <c r="AF14" s="1198">
        <f t="shared" si="2"/>
        <v>9</v>
      </c>
      <c r="AG14" s="1198">
        <f t="shared" si="2"/>
        <v>0</v>
      </c>
      <c r="AH14" s="1198">
        <f t="shared" si="2"/>
        <v>43</v>
      </c>
      <c r="AI14" s="1198">
        <f t="shared" si="2"/>
        <v>0</v>
      </c>
      <c r="AJ14" s="1198">
        <f t="shared" si="2"/>
        <v>0</v>
      </c>
      <c r="AK14" s="1198">
        <f t="shared" si="2"/>
        <v>0</v>
      </c>
      <c r="AL14" s="1198">
        <f t="shared" si="2"/>
        <v>0</v>
      </c>
      <c r="AM14" s="1198">
        <f t="shared" si="2"/>
        <v>1317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166</v>
      </c>
      <c r="BE14" s="1198">
        <f t="shared" si="2"/>
        <v>0</v>
      </c>
      <c r="BF14" s="1198">
        <f t="shared" si="2"/>
        <v>0</v>
      </c>
      <c r="BG14" s="1198">
        <f>IF(ISNUMBER(Datos!K14/Datos!J14),Datos!K14/Datos!J14," - ")</f>
        <v>0.71052631578947367</v>
      </c>
      <c r="BH14" s="1202">
        <f>IF(ISNUMBER(((Datos!L14/Datos!K14)*11)/factor_trimestre),((Datos!L14/Datos!K14)*11)/factor_trimestre," - ")</f>
        <v>4.0987654320987659</v>
      </c>
      <c r="BI14" s="1198">
        <f>IF(ISNUMBER('Resol  Asuntos'!D14/NºAsuntos!G14),'Resol  Asuntos'!D14/NºAsuntos!G14," - ")</f>
        <v>0.14985590778097982</v>
      </c>
      <c r="BJ14" s="1198" t="str">
        <f>IF(ISNUMBER(Datos!CI14/Datos!CJ14),Datos!CI14/Datos!CJ14," - ")</f>
        <v xml:space="preserve"> - </v>
      </c>
      <c r="BK14" s="1198">
        <f>SUBTOTAL(9,BK8:BK13)</f>
        <v>0</v>
      </c>
      <c r="BL14" s="1198">
        <f>IF(ISNUMBER((I14-AB14+L14)/(F14)),(I14-AB14+L14)/(F14)," - ")</f>
        <v>-1.625</v>
      </c>
      <c r="BM14" s="1203">
        <f>SUBTOTAL(9,BM9:BM13)</f>
        <v>3.9654157468727007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364</v>
      </c>
      <c r="G17" s="743">
        <f>IF(ISNUMBER(IF(D_I="SI",Datos!I17,Datos!I17+Datos!AC17)),IF(D_I="SI",Datos!I17,Datos!I17+Datos!AC17)," - ")</f>
        <v>354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408</v>
      </c>
      <c r="AC17" s="240">
        <f>IF(ISNUMBER(Datos!Q17),Datos!Q17," - ")</f>
        <v>4</v>
      </c>
      <c r="AD17" s="374"/>
      <c r="AE17" s="562"/>
      <c r="AF17" s="741">
        <f>IF(ISNUMBER(IF(D_I="SI",Datos!L17,Datos!L17+Datos!AF17)),IF(D_I="SI",Datos!L17,Datos!L17+Datos!AF17)," - ")</f>
        <v>437</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249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0.84823284823284828</v>
      </c>
      <c r="BH17" s="764">
        <f>IF(ISNUMBER(((IF(D_I="SI",Datos!L17/Datos!K17,(Datos!L17+Datos!AF17)/(Datos!K17+Datos!AE17)))*11)/factor_trimestre),((IF(D_I="SI",Datos!L17/Datos!K17,(Datos!L17+Datos!AF17)/(Datos!K17+Datos!AE17)))*11)/factor_trimestre," - ")</f>
        <v>2.142156862745098</v>
      </c>
      <c r="BI17" s="266">
        <f>IF(ISNUMBER('Resol  Asuntos'!D17/NºAsuntos!G17),'Resol  Asuntos'!D17/NºAsuntos!G17," - ")</f>
        <v>7.5980392156862739E-2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11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0.90909090909090906</v>
      </c>
      <c r="BH18" s="764">
        <f>IF(ISNUMBER(((IF(D_I="SI",Datos!L18/Datos!K18,(Datos!L18+Datos!AF18)/(Datos!K18+Datos!AE18)))*11)/factor_trimestre),((IF(D_I="SI",Datos!L18/Datos!K18,(Datos!L18+Datos!AF18)/(Datos!K18+Datos!AE18)))*11)/factor_trimestre," - ")</f>
        <v>0.73333333333333328</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364</v>
      </c>
      <c r="G23" s="1197">
        <f>SUBTOTAL(9,G16:G22)</f>
        <v>362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438</v>
      </c>
      <c r="AC23" s="1198">
        <f t="shared" si="5"/>
        <v>4</v>
      </c>
      <c r="AD23" s="1198">
        <f t="shared" si="5"/>
        <v>0</v>
      </c>
      <c r="AE23" s="1198">
        <f t="shared" si="5"/>
        <v>0</v>
      </c>
      <c r="AF23" s="1198">
        <f t="shared" si="5"/>
        <v>448</v>
      </c>
      <c r="AG23" s="1198">
        <f t="shared" si="5"/>
        <v>0</v>
      </c>
      <c r="AH23" s="1198">
        <f t="shared" si="5"/>
        <v>0</v>
      </c>
      <c r="AI23" s="1198">
        <f t="shared" si="5"/>
        <v>0</v>
      </c>
      <c r="AJ23" s="1198">
        <f t="shared" si="5"/>
        <v>0</v>
      </c>
      <c r="AK23" s="1198">
        <f t="shared" si="5"/>
        <v>0</v>
      </c>
      <c r="AL23" s="1198">
        <f t="shared" si="5"/>
        <v>0</v>
      </c>
      <c r="AM23" s="1198">
        <f t="shared" si="5"/>
        <v>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270</v>
      </c>
      <c r="BE23" s="1198">
        <f t="shared" si="5"/>
        <v>0</v>
      </c>
      <c r="BF23" s="1198">
        <f t="shared" si="5"/>
        <v>0</v>
      </c>
      <c r="BG23" s="1198">
        <f>IF(ISNUMBER(Datos!K23/Datos!J23),Datos!K23/Datos!J23," - ")</f>
        <v>0.85214007782101164</v>
      </c>
      <c r="BH23" s="1202">
        <f>IF(ISNUMBER(((Datos!L23/Datos!K23)*11)/factor_trimestre),((Datos!L23/Datos!K23)*11)/factor_trimestre," - ")</f>
        <v>2.0456621004566209</v>
      </c>
      <c r="BI23" s="1198">
        <f>SUBTOTAL(9,BI16:BI22)</f>
        <v>0.17598039215686273</v>
      </c>
      <c r="BJ23" s="1198">
        <f>SUBTOTAL(9,BJ16:BJ22)</f>
        <v>0</v>
      </c>
      <c r="BK23" s="1198">
        <f>SUBTOTAL(9,BK16:BK22)</f>
        <v>0</v>
      </c>
      <c r="BL23" s="1198">
        <f>IF(ISNUMBER((I23-AB23+L23)/(F23)),(I23-AB23+L23)/(F23)," - ")</f>
        <v>-1.2032967032967032</v>
      </c>
      <c r="BM23" s="1205">
        <f>IF(ISNUMBER((Datos!P23-Datos!Q23)/(Datos!R23-Datos!P23+Datos!Q23)),(Datos!P23-Datos!Q23)/(Datos!R23-Datos!P23+Datos!Q23)," - ")</f>
        <v>5.0847457627118647E-2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372</v>
      </c>
      <c r="G31" s="1117">
        <f t="shared" si="18"/>
        <v>370</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451</v>
      </c>
      <c r="AC31" s="1118">
        <f t="shared" si="19"/>
        <v>170</v>
      </c>
      <c r="AD31" s="1118">
        <f t="shared" si="19"/>
        <v>0</v>
      </c>
      <c r="AE31" s="1118">
        <f t="shared" si="19"/>
        <v>0</v>
      </c>
      <c r="AF31" s="1125">
        <f t="shared" si="19"/>
        <v>457</v>
      </c>
      <c r="AG31" s="1125">
        <f t="shared" si="19"/>
        <v>0</v>
      </c>
      <c r="AH31" s="1125">
        <f t="shared" si="19"/>
        <v>43</v>
      </c>
      <c r="AI31" s="1125">
        <f t="shared" si="19"/>
        <v>0</v>
      </c>
      <c r="AJ31" s="1118">
        <f t="shared" si="19"/>
        <v>0</v>
      </c>
      <c r="AK31" s="1125">
        <f t="shared" si="19"/>
        <v>0</v>
      </c>
      <c r="AL31" s="1125">
        <f t="shared" si="19"/>
        <v>0</v>
      </c>
      <c r="AM31" s="1125">
        <f t="shared" si="19"/>
        <v>1379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v>
      </c>
      <c r="BD31" s="1117">
        <f t="shared" si="19"/>
        <v>436</v>
      </c>
      <c r="BE31" s="1117">
        <f t="shared" si="19"/>
        <v>0</v>
      </c>
      <c r="BF31" s="1127">
        <f t="shared" si="19"/>
        <v>0</v>
      </c>
      <c r="BG31" s="1223">
        <f>IF(ISNUMBER(Datos!K31/Datos!J31),Datos!K31/Datos!J31," - ")</f>
        <v>0.78556701030927834</v>
      </c>
      <c r="BH31" s="1223">
        <f>IF(ISNUMBER(((Datos!L31/Datos!K31)*11)/factor_trimestre),((Datos!L31/Datos!K31)*11)/factor_trimestre," - ")</f>
        <v>2.9186351706036744</v>
      </c>
      <c r="BI31" s="1103">
        <f>IF(ISNUMBER(Datos!J31/Datos!I31),Datos!J31/Datos!I31," - ")</f>
        <v>1.0923423423423424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-1.2123655913978495</v>
      </c>
      <c r="BM31" s="1188">
        <f>IF(ISNUMBER((Datos!P31-Datos!Q31+R31)/(Datos!R31-Datos!P31+Datos!Q31-R31)),(Datos!P31-Datos!Q31+R31)/(Datos!R31-Datos!P31+Datos!Q31-R31)," - ")</f>
        <v>-2.8188865398167725E-2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105.71428571428571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185.93762394953853</v>
      </c>
      <c r="G33" s="674">
        <f>IF(ISNUMBER(STDEV(G8:G30)),STDEV(G8:G30),"-")</f>
        <v>172.39655283262317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201.37728154836515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21.659705841558818</v>
      </c>
      <c r="BD33" s="673"/>
      <c r="BE33" s="673">
        <f>IF(ISNUMBER(STDEV(BE8:BE30)),STDEV(BE8:BE30),"-")</f>
        <v>0</v>
      </c>
      <c r="BF33" s="678">
        <f>IF(ISNUMBER(STDEV(BF8:BF30)),STDEV(BF8:BF30),"-")</f>
        <v>0</v>
      </c>
      <c r="BG33" s="1052">
        <f>IF(ISNUMBER(STDEV(BG8:BG30)),STDEV(BG8:BG30),"-")</f>
        <v>0.10377283255348382</v>
      </c>
      <c r="BH33" s="1058">
        <f>IF(ISNUMBER(STDEV(BH8:BH30)),STDEV(BH8:BH30),"-")</f>
        <v>1.4176102336321572</v>
      </c>
      <c r="BI33" s="273">
        <f>IF(ISNUMBER(STDEV(BI8:BI30)),STDEV(BI8:BI30),"-")</f>
        <v>4.5621315912035693E-2</v>
      </c>
      <c r="BJ33" s="244" t="str">
        <f>IF(ISNUMBER(BL33/BM33),BL33/BM33," - ")</f>
        <v xml:space="preserve"> - </v>
      </c>
      <c r="BK33" s="709"/>
      <c r="BL33" s="681">
        <f>IF(ISNUMBER(STDEV(BL8:BL30)),STDEV(BL8:BL30),"-")</f>
        <v>0.29818926074762186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K4to3OiBj+lOMbBkPqBy6Vb0IWFT+g8S55cLhBKonlcSH0x9ucxwHX74DgLbBoF2bLI1lgiqjMJO7Ozp8TDqw==" saltValue="J4wbqjr/TBwZruZeBpI2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LA ALMUNIA DE DOÑA GODINA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9</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6</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1.3846153846153846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166</v>
      </c>
      <c r="AA12" s="551" t="str">
        <f>IF(ISNUMBER(IF(J_V="SI",Datos!L12,Datos!L12+Datos!AB12)-IF(Monitorios="SI",Datos!CD12,0)),
                          IF(J_V="SI",Datos!L12,Datos!L12+Datos!AB12)-IF(Monitorios="SI",Datos!CD12,0),
                          " - ")</f>
        <v xml:space="preserve"> - </v>
      </c>
      <c r="AB12" s="549"/>
      <c r="AC12" s="549"/>
      <c r="AD12" s="563"/>
      <c r="AE12" s="563">
        <f>IF(ISNUMBER(Datos!R12),Datos!R12," - ")</f>
        <v>1312</v>
      </c>
      <c r="AF12" s="693" t="str">
        <f>IF(ISNUMBER(Datos!BV12),Datos!BV12," - ")</f>
        <v xml:space="preserve"> - </v>
      </c>
      <c r="AG12" s="552" t="str">
        <f>IF(ISNUMBER(Datos!DV12),Datos!DV12," - ")</f>
        <v xml:space="preserve"> - </v>
      </c>
      <c r="AH12" s="553"/>
      <c r="AI12" s="554"/>
      <c r="AJ12" s="552">
        <f>IF(ISNUMBER(Datos!M12),Datos!M12," - ")</f>
        <v>46</v>
      </c>
      <c r="AK12" s="693">
        <f>IF(ISNUMBER(Datos!N12),Datos!N12," - ")</f>
        <v>160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4.1796407185628741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-3.4584253127299486E-2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166</v>
      </c>
      <c r="AA14" s="1199">
        <f t="shared" si="3"/>
        <v>9</v>
      </c>
      <c r="AB14" s="1199">
        <f t="shared" si="3"/>
        <v>0</v>
      </c>
      <c r="AC14" s="1199">
        <f t="shared" si="3"/>
        <v>0</v>
      </c>
      <c r="AD14" s="1199">
        <f t="shared" si="3"/>
        <v>0</v>
      </c>
      <c r="AE14" s="1199">
        <f t="shared" si="3"/>
        <v>1317</v>
      </c>
      <c r="AF14" s="1211">
        <f t="shared" si="3"/>
        <v>0</v>
      </c>
      <c r="AG14" s="1211">
        <f t="shared" si="3"/>
        <v>0</v>
      </c>
      <c r="AH14" s="1211">
        <f t="shared" si="3"/>
        <v>0</v>
      </c>
      <c r="AI14" s="1211">
        <f t="shared" si="3"/>
        <v>0</v>
      </c>
      <c r="AJ14" s="1211">
        <f t="shared" si="3"/>
        <v>52</v>
      </c>
      <c r="AK14" s="1211">
        <f t="shared" si="3"/>
        <v>166</v>
      </c>
      <c r="AL14" s="1211">
        <f t="shared" si="3"/>
        <v>0</v>
      </c>
      <c r="AM14" s="1211">
        <f t="shared" si="3"/>
        <v>0</v>
      </c>
      <c r="AN14" s="1211">
        <f t="shared" si="3"/>
        <v>0</v>
      </c>
      <c r="AO14" s="1203">
        <f>IF(ISNUMBER(((NºAsuntos!I14/NºAsuntos!G14)*11)/factor_trimestre),((NºAsuntos!I14/NºAsuntos!G14)*11)/factor_trimestre," - ")</f>
        <v>4.0749279538904899</v>
      </c>
      <c r="AP14" s="1213" t="str">
        <f>IF(ISNUMBER(Datos!CI14/Datos!CJ14),Datos!CI14/Datos!CJ14," - ")</f>
        <v xml:space="preserve"> - </v>
      </c>
      <c r="AQ14" s="1236">
        <f t="shared" ref="AQ14:AV14" si="4">SUBTOTAL(9,AQ9:AQ13)</f>
        <v>0</v>
      </c>
      <c r="AR14" s="1236">
        <f t="shared" si="4"/>
        <v>3.9654157468727007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364</v>
      </c>
      <c r="G17" s="552">
        <f>IF(ISNUMBER(IF(D_I="SI",Datos!I17,Datos!I17+Datos!AC17)),IF(D_I="SI",Datos!I17,Datos!I17+Datos!AC17)," - ")</f>
        <v>354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408</v>
      </c>
      <c r="Z17" s="805">
        <f>IF(ISNUMBER(Datos!Q17),Datos!Q17," - ")</f>
        <v>4</v>
      </c>
      <c r="AA17" s="551">
        <f>IF(ISNUMBER(IF(D_I="SI",Datos!L17,Datos!L17+Datos!AF17)),IF(D_I="SI",Datos!L17,Datos!L17+Datos!AF17)," - ")</f>
        <v>437</v>
      </c>
      <c r="AB17" s="549"/>
      <c r="AC17" s="549"/>
      <c r="AD17" s="563"/>
      <c r="AE17" s="563">
        <f>IF(ISNUMBER(Datos!R17),Datos!R17," - ")</f>
        <v>60</v>
      </c>
      <c r="AF17" s="693" t="str">
        <f>IF(ISNUMBER(Datos!BV17),Datos!BV17," - ")</f>
        <v xml:space="preserve"> - </v>
      </c>
      <c r="AG17" s="552"/>
      <c r="AH17" s="553"/>
      <c r="AI17" s="554"/>
      <c r="AJ17" s="552">
        <f>IF(ISNUMBER(Datos!M17),Datos!M17," - ")</f>
        <v>31</v>
      </c>
      <c r="AK17" s="693">
        <f>IF(ISNUMBER(Datos!N17),Datos!N17," - ")</f>
        <v>249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2.142156862745098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11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0.73333333333333328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364</v>
      </c>
      <c r="G23" s="1197">
        <f>SUBTOTAL(9,G16:G22)</f>
        <v>362</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438</v>
      </c>
      <c r="Z23" s="1240">
        <f t="shared" si="6"/>
        <v>4</v>
      </c>
      <c r="AA23" s="1240">
        <f t="shared" si="6"/>
        <v>448</v>
      </c>
      <c r="AB23" s="1240">
        <f t="shared" si="6"/>
        <v>0</v>
      </c>
      <c r="AC23" s="1240">
        <f t="shared" si="6"/>
        <v>0</v>
      </c>
      <c r="AD23" s="1240">
        <f t="shared" si="6"/>
        <v>0</v>
      </c>
      <c r="AE23" s="1240">
        <f t="shared" si="6"/>
        <v>62</v>
      </c>
      <c r="AF23" s="1240">
        <f t="shared" si="6"/>
        <v>0</v>
      </c>
      <c r="AG23" s="1240">
        <f t="shared" si="6"/>
        <v>0</v>
      </c>
      <c r="AH23" s="1240">
        <f t="shared" si="6"/>
        <v>0</v>
      </c>
      <c r="AI23" s="1240">
        <f t="shared" si="6"/>
        <v>0</v>
      </c>
      <c r="AJ23" s="1240">
        <f t="shared" si="6"/>
        <v>34</v>
      </c>
      <c r="AK23" s="1240">
        <f t="shared" si="6"/>
        <v>270</v>
      </c>
      <c r="AL23" s="1240">
        <f t="shared" si="6"/>
        <v>0</v>
      </c>
      <c r="AM23" s="1240">
        <f t="shared" si="6"/>
        <v>0</v>
      </c>
      <c r="AN23" s="1240">
        <f t="shared" si="6"/>
        <v>0</v>
      </c>
      <c r="AO23" s="1242">
        <f>IF(ISNUMBER(((NºAsuntos!I23/NºAsuntos!G23)*11)/factor_trimestre),((NºAsuntos!I23/NºAsuntos!G23)*11)/factor_trimestre," - ")</f>
        <v>2.0456621004566209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372</v>
      </c>
      <c r="G31" s="1117">
        <f t="shared" si="12"/>
        <v>370</v>
      </c>
      <c r="H31" s="1118">
        <f t="shared" si="12"/>
        <v>0</v>
      </c>
      <c r="I31" s="1117">
        <f t="shared" si="12"/>
        <v>0</v>
      </c>
      <c r="J31" s="1119">
        <f t="shared" si="12"/>
        <v>0</v>
      </c>
      <c r="K31" s="1117">
        <f t="shared" si="12"/>
        <v>0</v>
      </c>
      <c r="L31" s="1120">
        <f t="shared" si="12"/>
        <v>0</v>
      </c>
      <c r="M31" s="1117">
        <f t="shared" si="12"/>
        <v>0</v>
      </c>
      <c r="N31" s="1118">
        <f t="shared" si="12"/>
        <v>130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451</v>
      </c>
      <c r="Z31" s="1124">
        <f t="shared" si="13"/>
        <v>170</v>
      </c>
      <c r="AA31" s="1125">
        <f t="shared" si="13"/>
        <v>457</v>
      </c>
      <c r="AB31" s="1125">
        <f t="shared" si="13"/>
        <v>0</v>
      </c>
      <c r="AC31" s="1125">
        <f t="shared" si="13"/>
        <v>0</v>
      </c>
      <c r="AD31" s="1126">
        <f t="shared" si="13"/>
        <v>0</v>
      </c>
      <c r="AE31" s="1126">
        <f t="shared" si="13"/>
        <v>1379</v>
      </c>
      <c r="AF31" s="1127">
        <f t="shared" si="13"/>
        <v>0</v>
      </c>
      <c r="AG31" s="1128">
        <f t="shared" si="13"/>
        <v>0</v>
      </c>
      <c r="AH31" s="1129">
        <f t="shared" si="13"/>
        <v>0</v>
      </c>
      <c r="AI31" s="1127">
        <f t="shared" si="13"/>
        <v>0</v>
      </c>
      <c r="AJ31" s="1117">
        <f t="shared" si="13"/>
        <v>86</v>
      </c>
      <c r="AK31" s="1117">
        <f t="shared" si="13"/>
        <v>436</v>
      </c>
      <c r="AL31" s="1117">
        <f t="shared" si="13"/>
        <v>0</v>
      </c>
      <c r="AM31" s="1130">
        <f t="shared" si="13"/>
        <v>0</v>
      </c>
      <c r="AN31" s="1120">
        <f>IF(ISNUMBER(Datos!K31/Datos!J31),Datos!K31/Datos!J31," - ")</f>
        <v>0.78556701030927834</v>
      </c>
      <c r="AO31" s="1120">
        <f>IF(ISNUMBER(FIND("06",Criterios!A8,1)),(IF(ISNUMBER(((Datos!R31/Datos!Q31)*11)/factor_trimestre),((Datos!R31/Datos!Q31)*11)/factor_trimestre," - ")),(IF(ISNUMBER(((Datos!L31/Datos!K31)*11)/factor_trimestre),((Datos!L31/Datos!K31)*11)/factor_trimestre," - ")))</f>
        <v>2.9186351706036744</v>
      </c>
      <c r="AP31" s="1131" t="str">
        <f>IF(ISNUMBER(Datos!CI31/Datos!CJ31),Datos!CI31/Datos!CJ31," - ")</f>
        <v xml:space="preserve"> - </v>
      </c>
      <c r="AQ31" s="1131">
        <f>IF(OR(ISNUMBER(FIND("01",Criterios!A8,1)),ISNUMBER(FIND("02",Criterios!A8,1)),ISNUMBER(FIND("03",Criterios!A8,1)),ISNUMBER(FIND("04",Criterios!A8,1))),(J31-Y31+K31)/(F31-K31),(I31-Y31+K31)/(F31-K31))</f>
        <v>-1.2123655913978495</v>
      </c>
      <c r="AR31" s="1131">
        <f>IF(ISNUMBER((Datos!P31-Datos!Q31+O31)/(Datos!R31-Datos!P31+Datos!Q31-O31)),(Datos!P31-Datos!Q31+O31)/(Datos!R31-Datos!P31+Datos!Q31-O31)," - ")</f>
        <v>-2.8188865398167725E-2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105.71428571428571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185.93762394953853</v>
      </c>
      <c r="G33" s="674">
        <f>IF(ISNUMBER(STDEV(G8:G30)),STDEV(G8:G30),"-")</f>
        <v>172.39655283262317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21.659705841558818</v>
      </c>
      <c r="AK33" s="276"/>
      <c r="AL33" s="276">
        <f>IF(ISNUMBER(STDEV(AL8:AL30)),STDEV(AL8:AL30),"-")</f>
        <v>0</v>
      </c>
      <c r="AM33" s="278">
        <f>IF(ISNUMBER(STDEV(AM8:AM30)),STDEV(AM8:AM30),"-")</f>
        <v>0</v>
      </c>
      <c r="AN33" s="660">
        <f>IF(ISNUMBER(STDEV(AN8:AN30)),STDEV(AN8:AN30),"-")</f>
        <v>0</v>
      </c>
      <c r="AO33" s="661">
        <f>IF(ISNUMBER(STDEV(AO8:AO30)),STDEV(AO8:AO30),"-")</f>
        <v>1.412022821269501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3/pdWJM8ybNSKTpGHYN0aVvU0lCgaf0OmS7PiBwMGrnmj8PhbZzWoA39pEIGfi1SWhKeWwqLLmfFAcwR7iLWfw==" saltValue="PZppbKrP2s4Pc2XNgLlD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tbLEw6fgYipnGMiS/GjUkgGuGNZatAj2W2FfewDeo3Ybjn8ASSgvq2EXKMPfB1SgBnxleFwEHyldg3OOKLPqA==" saltValue="LmxCyxYqAyKUjUydrG6F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HF3AJCEJm+nOAwDAZYP4Ut+KXpuRW+MS4YRIVpPyO9u1DCAisNij185KQ3SuLL9vqrlwpm/dh0zopZWWQzezA==" saltValue="sGhvWpWIsuB+mT6YPLa9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LA ALMUNIA DE DOÑA GODINA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0.14985590778097982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0.10596412859279675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RdcR8prH9Yf0DfzuLsIZ8UcqRmWSnzgYhowu8Eyx/hHlOR6gS0RZfw2f0eZ8iRlXwG6+l5IdBRcBWBtZsthGw==" saltValue="juOUx1k+O/FZynnEE+MZ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0qluybXfDclt9Pzxq/gOAdjRktsPmMT+ln4kpI9hIPtd4cbmHQYxMd+zwy2EyK4P8tspNP5jcKSUTeIrj73lg==" saltValue="THHsYTlHzYfMz8QjO6fr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LA ALMUNIA DE DOÑA GODINA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14</v>
      </c>
      <c r="F10" s="452">
        <f>IF(ISNUMBER(E10/B10),E10/B10," - ")</f>
        <v>14</v>
      </c>
      <c r="G10" s="451">
        <f>IF(ISNUMBER(Datos!K10),Datos!K10," - ")</f>
        <v>13</v>
      </c>
      <c r="H10" s="452">
        <f>IF(ISNUMBER(G10/B10),G10/B10," - ")</f>
        <v>13</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533</v>
      </c>
      <c r="D12" s="452">
        <f>IF(ISNUMBER(C12/Datos!BH12),C12/Datos!BH12," - ")</f>
        <v>266.5</v>
      </c>
      <c r="E12" s="451">
        <f>IF(ISNUMBER(IF(J_V="SI",Datos!J12,Datos!J12+Datos!Z12)),IF(J_V="SI",Datos!J12,Datos!J12+Datos!Z12)," - ")</f>
        <v>493</v>
      </c>
      <c r="F12" s="452">
        <f>IF(ISNUMBER(E12/B12),E12/B12," - ")</f>
        <v>246.5</v>
      </c>
      <c r="G12" s="451">
        <f>IF(ISNUMBER(IF(J_V="SI",Datos!K12,Datos!K12+Datos!AA12)),IF(J_V="SI",Datos!K12,Datos!K12+Datos!AA12)," - ")</f>
        <v>334</v>
      </c>
      <c r="H12" s="452">
        <f>IF(ISNUMBER(G12/B12),G12/B12," - ")</f>
        <v>167</v>
      </c>
      <c r="I12" s="451">
        <f>IF(ISNUMBER(IF(J_V="SI",Datos!L12,Datos!L12+Datos!AB12)),IF(J_V="SI",Datos!L12,Datos!L12+Datos!AB12)," - ")</f>
        <v>698</v>
      </c>
      <c r="J12" s="452">
        <f>IF(ISNUMBER(I12/B12),I12/B12," - ")</f>
        <v>349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541</v>
      </c>
      <c r="D14" s="1147" t="str">
        <f>IF(ISNUMBER(C14/Datos!BI14),C14/Datos!BI14," - ")</f>
        <v xml:space="preserve"> - </v>
      </c>
      <c r="E14" s="1146">
        <f>SUBTOTAL(9,E8:E13)</f>
        <v>507</v>
      </c>
      <c r="F14" s="1147">
        <f>IF(ISNUMBER(E14/B14),E14/B14," - ")</f>
        <v>253.5</v>
      </c>
      <c r="G14" s="1146">
        <f>SUBTOTAL(9,G8:G13)</f>
        <v>347</v>
      </c>
      <c r="H14" s="1147">
        <f>IF(ISNUMBER(G14/B14),G14/B14," - ")</f>
        <v>173.5</v>
      </c>
      <c r="I14" s="1146">
        <f>SUBTOTAL(9,I8:I13)</f>
        <v>707</v>
      </c>
      <c r="J14" s="1147">
        <f>IF(ISNUMBER(I14/B14),I14/B14," - ")</f>
        <v>353.5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354</v>
      </c>
      <c r="D17" s="452">
        <f>IF(ISNUMBER(C17/Datos!BH17),C17/Datos!BH17," - ")</f>
        <v>177</v>
      </c>
      <c r="E17" s="451">
        <f>IF(ISNUMBER(IF(D_I="SI",Datos!J17,Datos!J17+Datos!AD17)),IF(D_I="SI",Datos!J17,Datos!J17+Datos!AD17)," - ")</f>
        <v>481</v>
      </c>
      <c r="F17" s="452">
        <f>IF(ISNUMBER(E17/B17),E17/B17," - ")</f>
        <v>240.5</v>
      </c>
      <c r="G17" s="451">
        <f>IF(ISNUMBER(IF(D_I="SI",Datos!K17,Datos!K17+Datos!AE17)),IF(D_I="SI",Datos!K17,Datos!K17+Datos!AE17)," - ")</f>
        <v>408</v>
      </c>
      <c r="H17" s="452">
        <f>IF(ISNUMBER(G17/B17),G17/B17," - ")</f>
        <v>204</v>
      </c>
      <c r="I17" s="451">
        <f>IF(ISNUMBER(IF(D_I="SI",Datos!L17,Datos!L17+Datos!AF17)),IF(D_I="SI",Datos!L17,Datos!L17+Datos!AF17)," - ")</f>
        <v>437</v>
      </c>
      <c r="J17" s="452">
        <f>IF(ISNUMBER(I17/B17),I17/B17," - ")</f>
        <v>218.5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33</v>
      </c>
      <c r="F18" s="452">
        <f>IF(ISNUMBER(E18/B18),E18/B18," - ")</f>
        <v>33</v>
      </c>
      <c r="G18" s="451">
        <f>IF(ISNUMBER(IF(D_I="SI",Datos!K18,Datos!K18+Datos!AE18)),IF(D_I="SI",Datos!K18,Datos!K18+Datos!AE18)," - ")</f>
        <v>30</v>
      </c>
      <c r="H18" s="452">
        <f>IF(ISNUMBER(G18/B18),G18/B18," - ")</f>
        <v>30</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362</v>
      </c>
      <c r="D23" s="1147" t="str">
        <f>IF(ISNUMBER(C23/Datos!BI23),C23/Datos!BI23," - ")</f>
        <v xml:space="preserve"> - </v>
      </c>
      <c r="E23" s="1146">
        <f>SUBTOTAL(9,E15:E22)</f>
        <v>514</v>
      </c>
      <c r="F23" s="1147">
        <f>IF(ISNUMBER(E23/B23),E23/B23," - ")</f>
        <v>257</v>
      </c>
      <c r="G23" s="1146">
        <f>SUBTOTAL(9,G15:G22)</f>
        <v>438</v>
      </c>
      <c r="H23" s="1147">
        <f>IF(ISNUMBER(G23/B23),G23/B23," - ")</f>
        <v>219</v>
      </c>
      <c r="I23" s="1146">
        <f>SUBTOTAL(9,I15:I22)</f>
        <v>448</v>
      </c>
      <c r="J23" s="1147">
        <f>IF(ISNUMBER(I23/B23),I23/B23," - ")</f>
        <v>224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903</v>
      </c>
      <c r="D31" s="1085" t="str">
        <f>IF(ISNUMBER(C31/Datos!BI31),C31/Datos!BI31," - ")</f>
        <v xml:space="preserve"> - </v>
      </c>
      <c r="E31" s="1084">
        <f>SUBTOTAL(9,E9:E30)</f>
        <v>1021</v>
      </c>
      <c r="F31" s="1085">
        <f>IF(ISNUMBER(E31/B31),E31/B31," - ")</f>
        <v>510.5</v>
      </c>
      <c r="G31" s="1084">
        <f>SUBTOTAL(9,G9:G30)</f>
        <v>785</v>
      </c>
      <c r="H31" s="1085">
        <f>IF(ISNUMBER(G31/B31),G31/B31," - ")</f>
        <v>392.5</v>
      </c>
      <c r="I31" s="1084">
        <f>SUBTOTAL(9,I9:I30)</f>
        <v>1155</v>
      </c>
      <c r="J31" s="1085">
        <f>IF(ISNUMBER(I31/B31),I31/B31," - ")</f>
        <v>577.5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fuLE1bVY17B722HQF77n0PPj4REDLdToOyyrZC9842qjSiEdXinOFnGazKZS7PpjQg4N6uZCuN/CFyw/UOVrg==" saltValue="FnEqR1ZPwEq6EXT8aT1H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LA ALMUNIA DE DOÑA GODINA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1.3846153846153846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v>
      </c>
      <c r="AM12" s="914">
        <f>IF(ISNUMBER(Datos!N12+DatosP!N17),Datos!N12+DatosP!N17," - ")</f>
        <v>160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4.1796407185628741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-3.4584253127299486E-2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166</v>
      </c>
      <c r="AE14" s="1257">
        <f t="shared" si="1"/>
        <v>0</v>
      </c>
      <c r="AF14" s="1257">
        <f t="shared" si="1"/>
        <v>9</v>
      </c>
      <c r="AG14" s="1257">
        <f t="shared" si="1"/>
        <v>0</v>
      </c>
      <c r="AH14" s="1257">
        <f t="shared" si="1"/>
        <v>1312</v>
      </c>
      <c r="AI14" s="1257">
        <f t="shared" si="1"/>
        <v>0</v>
      </c>
      <c r="AJ14" s="1257">
        <f t="shared" si="1"/>
        <v>0</v>
      </c>
      <c r="AK14" s="1257">
        <f t="shared" si="1"/>
        <v>0</v>
      </c>
      <c r="AL14" s="1257">
        <f t="shared" si="1"/>
        <v>52</v>
      </c>
      <c r="AM14" s="1257">
        <f t="shared" si="1"/>
        <v>166</v>
      </c>
      <c r="AN14" s="1257">
        <f t="shared" si="1"/>
        <v>0</v>
      </c>
      <c r="AO14" s="1257">
        <f t="shared" si="1"/>
        <v>0</v>
      </c>
      <c r="AP14" s="1262">
        <f>IF(ISNUMBER(((Datos!L14/Datos!K14)*11)/factor_trimestre),((Datos!L14/Datos!K14)*11)/factor_trimestre," - ")</f>
        <v>4.0987654320987659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-1.625</v>
      </c>
      <c r="AU14" s="1257" t="str">
        <f>IF(ISNUMBER((DatosP!#REF!-DatosP!#REF!+DatosP!#REF!)/(DatosP!#REF!+DatosP!#REF!-DatosP!#REF!-DatosP!#REF!)),(DatosP!#REF!-DatosP!#REF!+DatosP!#REF!)/(DatosP!#REF!+DatosP!#REF!-DatosP!#REF!-DatosP!#REF!)," - ")</f>
        <v xml:space="preserve"> - </v>
      </c>
      <c r="AV14" s="1263">
        <f>SUBTOTAL(9,AV9:AV13)</f>
        <v>-3.4584253127299486E-2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2.0456621004566209</v>
      </c>
      <c r="AQ23" s="1262">
        <f>IF(ISNUMBER(((Datos!M23/Datos!L23)*11)/factor_trimestre),((Datos!M23/Datos!L23)*11)/factor_trimestre," - ")</f>
        <v>0.15178571428571427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5.0847457627118647E-2</v>
      </c>
      <c r="AW23" s="1265">
        <f>IF(ISNUMBER((Datos!Q23-Datos!R23)/(Datos!S23-Datos!Q23+Datos!R23)),(Datos!Q23-Datos!R23)/(Datos!S23-Datos!Q23+Datos!R23)," - ")</f>
        <v>-0.18012422360248448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166</v>
      </c>
      <c r="AE31" s="1284">
        <f t="shared" si="9"/>
        <v>0</v>
      </c>
      <c r="AF31" s="1285">
        <f t="shared" si="9"/>
        <v>9</v>
      </c>
      <c r="AG31" s="1285">
        <f t="shared" si="9"/>
        <v>0</v>
      </c>
      <c r="AH31" s="1285">
        <f t="shared" si="9"/>
        <v>1312</v>
      </c>
      <c r="AI31" s="1285">
        <f t="shared" si="9"/>
        <v>0</v>
      </c>
      <c r="AJ31" s="1286">
        <f t="shared" si="9"/>
        <v>0</v>
      </c>
      <c r="AK31" s="1286">
        <f t="shared" si="9"/>
        <v>0</v>
      </c>
      <c r="AL31" s="1278">
        <f t="shared" si="9"/>
        <v>52</v>
      </c>
      <c r="AM31" s="1278">
        <f t="shared" si="9"/>
        <v>166</v>
      </c>
      <c r="AN31" s="1278">
        <f t="shared" si="9"/>
        <v>0</v>
      </c>
      <c r="AO31" s="1278">
        <f t="shared" si="9"/>
        <v>0</v>
      </c>
      <c r="AP31" s="1278">
        <f>IF(ISNUMBER(((Datos!L31/Datos!K31)*11)/factor_trimestre),((Datos!L31/Datos!K31)*11)/factor_trimestre," - ")</f>
        <v>2.9186351706036744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-2.8188865398167725E-2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24.711670657134185</v>
      </c>
      <c r="AM33" s="1006"/>
      <c r="AN33" s="1006">
        <f>IF(ISNUMBER(STDEV(AN8:AN30)),STDEV(AN8:AN30),"-")</f>
        <v>0</v>
      </c>
      <c r="AO33" s="1012">
        <f>IF(ISNUMBER(STDEV(AO8:AO30)),STDEV(AO8:AO30),"-")</f>
        <v>0</v>
      </c>
      <c r="AP33" s="1065">
        <f>IF(ISNUMBER(STDEV(AP8:AP30)),STDEV(AP8:AP30),"-")</f>
        <v>1.4256986212345801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8o3P3WaoUQ5pcZ6yqiLi2LRy13M+p2+4av1wS+dvtUTs1Y9kqNc7SaIxiQU5RiCPWcauKOoqdk4Np32mcEj/g==" saltValue="uJ6xti7eGztI9Et4kI0a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LA ALMUNIA DE DOÑA GODINA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zcfD1Cb85ljXVflv09JP/Xi4e/VUF8G7w/+6eB9l/gfokBUYhjLpgN4hhbV2qTSudPLYiFRAffOvFXKlUabA==" saltValue="rQvsbJlcIMgroj8fLAIL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LA ALMUNIA DE DOÑA GODINA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46</v>
      </c>
      <c r="E12" s="452">
        <f t="shared" si="0"/>
        <v>23</v>
      </c>
      <c r="F12" s="451">
        <f>IF(ISNUMBER(Datos!N12),Datos!N12," - ")</f>
        <v>160</v>
      </c>
      <c r="G12" s="452">
        <f t="shared" si="1"/>
        <v>80</v>
      </c>
      <c r="H12" s="451">
        <f>IF(ISNUMBER(Datos!O12),Datos!O12," - ")</f>
        <v>139</v>
      </c>
      <c r="I12" s="452">
        <f t="shared" si="2"/>
        <v>69.5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52</v>
      </c>
      <c r="E14" s="1147">
        <f t="shared" si="0"/>
        <v>17.333333333333332</v>
      </c>
      <c r="F14" s="1146">
        <f>SUBTOTAL(9,F9:F13)</f>
        <v>166</v>
      </c>
      <c r="G14" s="1147">
        <f t="shared" si="1"/>
        <v>55.333333333333336</v>
      </c>
      <c r="H14" s="1146">
        <f>SUBTOTAL(9,H9:H13)</f>
        <v>139</v>
      </c>
      <c r="I14" s="1147">
        <f>IF(ISNUMBER(H14/B14),H14/B14," - ")</f>
        <v>46.333333333333336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249</v>
      </c>
      <c r="G17" s="452">
        <f t="shared" si="4"/>
        <v>124.5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34</v>
      </c>
      <c r="E23" s="1147">
        <f t="shared" si="3"/>
        <v>11.333333333333334</v>
      </c>
      <c r="F23" s="1146">
        <f>SUBTOTAL(9,F16:F22)</f>
        <v>270</v>
      </c>
      <c r="G23" s="1147">
        <f t="shared" si="4"/>
        <v>90</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86</v>
      </c>
      <c r="E31" s="1085">
        <f>IF(ISNUMBER(D31/B31),D31/B31," - ")</f>
        <v>43</v>
      </c>
      <c r="F31" s="1084">
        <f>SUBTOTAL(9,F8:F30)</f>
        <v>436</v>
      </c>
      <c r="G31" s="1085">
        <f>IF(ISNUMBER(F31/B31),F31/B31," - ")</f>
        <v>218</v>
      </c>
      <c r="H31" s="1084">
        <f>SUBTOTAL(9,H8:H30)</f>
        <v>139</v>
      </c>
      <c r="I31" s="1085">
        <f>IF(ISNUMBER(H31/B31),H31/B31," - ")</f>
        <v>69.5</v>
      </c>
    </row>
    <row r="34" spans="1:1">
      <c r="A34" s="439" t="str">
        <f>Criterios!A4</f>
        <v>Fecha Informe: 06 may. 2023</v>
      </c>
    </row>
    <row r="39" spans="1:1">
      <c r="A39" s="462"/>
    </row>
  </sheetData>
  <sheetProtection algorithmName="SHA-512" hashValue="bxyzg3YmsZtYlV8mfmW5bLzOltUEM0uYBcwla3JGOLoiIxaHFQiuaBG2UG3rwIPIrtVdasDFb1FIkgBnVBfJEw==" saltValue="tNwJgXzbwoZnN+X7ODJz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LA ALMUNIA DE DOÑA GODINA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119</v>
      </c>
      <c r="C12" s="489">
        <f>IF(ISNUMBER(Datos!Q12),Datos!Q12," - ")</f>
        <v>166</v>
      </c>
      <c r="D12" s="456">
        <f>IF(ISNUMBER(Datos!R12),Datos!R12," - ")</f>
        <v>1312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123</v>
      </c>
      <c r="C14" s="1150">
        <f>SUBTOTAL(9,C9:C13)</f>
        <v>166</v>
      </c>
      <c r="D14" s="1148">
        <f>SUBTOTAL(9,D9:D13)</f>
        <v>1317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4</v>
      </c>
      <c r="D17" s="456">
        <f>IF(ISNUMBER(Datos!R17),Datos!R17," - ")</f>
        <v>60</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4</v>
      </c>
      <c r="D23" s="1148">
        <f>SUBTOTAL(9,D16:D22)</f>
        <v>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v>
      </c>
      <c r="C31" s="1089">
        <f>SUBTOTAL(9,C8:C30)</f>
        <v>170</v>
      </c>
      <c r="D31" s="1090">
        <f>SUBTOTAL(9,D8:D30)</f>
        <v>1379</v>
      </c>
    </row>
    <row r="32" spans="1:4" ht="7.5" customHeight="1"/>
    <row r="33" spans="1:1" ht="6" customHeight="1"/>
    <row r="34" spans="1:1">
      <c r="A34" s="439" t="str">
        <f>Criterios!A4</f>
        <v>Fecha Informe: 06 may. 2023</v>
      </c>
    </row>
    <row r="39" spans="1:1">
      <c r="A39" s="462"/>
    </row>
  </sheetData>
  <sheetProtection algorithmName="SHA-512" hashValue="s7+4Cu9yhBm5c+G0bslQCA5CcTMqyYdtkLNnr+DqkDCBM+KbNO22LuyXjJ5sxW3OvOtiTg13QJ5Jtp4sJxIJNQ==" saltValue="53JZrk/yD9DslHHNtSLE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LA ALMUNIA DE DOÑA GODINA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6</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0.18973214285714285</v>
      </c>
      <c r="C12" s="515">
        <f>IF(ISNUMBER(
   IF(J_V="SI",(Datos!J12-Datos!T12)/Datos!T12,(Datos!J12+Datos!Z12-(Datos!T12+Datos!AH12))/(Datos!T12+Datos!AH12))
     ),IF(J_V="SI",(Datos!J12-Datos!T12)/Datos!T12,(Datos!J12+Datos!Z12-(Datos!T12+Datos!AH12))/(Datos!T12+Datos!AH12))," - ")</f>
        <v>-0.42</v>
      </c>
      <c r="D12" s="515">
        <f>IF(ISNUMBER(
   IF(J_V="SI",(Datos!K12-Datos!U12)/Datos!U12,(Datos!K12+Datos!AA12-(Datos!U12+Datos!AI12))/(Datos!U12+Datos!AI12))
     ),IF(J_V="SI",(Datos!K12-Datos!U12)/Datos!U12,(Datos!K12+Datos!AA12-(Datos!U12+Datos!AI12))/(Datos!U12+Datos!AI12))," - ")</f>
        <v>-0.5891758917589176</v>
      </c>
      <c r="E12" s="515">
        <f>IF(ISNUMBER(
   IF(J_V="SI",(Datos!L12-Datos!V12)/Datos!V12,(Datos!L12+Datos!AB12-(Datos!V12+Datos!AJ12))/(Datos!V12+Datos!AJ12))
     ),IF(J_V="SI",(Datos!L12-Datos!V12)/Datos!V12,(Datos!L12+Datos!AB12-(Datos!V12+Datos!AJ12))/(Datos!V12+Datos!AJ12))," - ")</f>
        <v>0.43621399176954734</v>
      </c>
      <c r="F12" s="515">
        <f>IF(ISNUMBER((Datos!M12-Datos!W12)/Datos!W12),(Datos!M12-Datos!W12)/Datos!W12," - ")</f>
        <v>-0.13207547169811321</v>
      </c>
      <c r="G12" s="516">
        <f>IF(ISNUMBER((Datos!N12-Datos!X12)/Datos!X12),(Datos!N12-Datos!X12)/Datos!X12," - ")</f>
        <v>0.48148148148148145</v>
      </c>
      <c r="H12" s="514">
        <f>IF(ISNUMBER(((NºAsuntos!G12/NºAsuntos!E12)-Datos!BD12)/Datos!BD12),((NºAsuntos!G12/NºAsuntos!E12)-Datos!BD12)/Datos!BD12," - ")</f>
        <v>-0.2916825719981338</v>
      </c>
      <c r="I12" s="515">
        <f>IF(ISNUMBER(((NºAsuntos!I12/NºAsuntos!G12)-Datos!BE12)/Datos!BE12),((NºAsuntos!I12/NºAsuntos!G12)-Datos!BE12)/Datos!BE12," - ")</f>
        <v>2.4959340578103055</v>
      </c>
      <c r="J12" s="521">
        <f>IF(ISNUMBER((('Resol  Asuntos'!D12/NºAsuntos!G12)-Datos!BF12)/Datos!BF12),(('Resol  Asuntos'!D12/NºAsuntos!G12)-Datos!BF12)/Datos!BF12," - ")</f>
        <v>3.6759813705921476E-2</v>
      </c>
      <c r="K12" s="522">
        <f>IF(ISNUMBER((((NºAsuntos!C12+NºAsuntos!E12)/NºAsuntos!G12)-Datos!BG12)/Datos!BG12),(((NºAsuntos!C12+NºAsuntos!E12)/NºAsuntos!G12)-Datos!BG12)/Datos!BG12," - ")</f>
        <v>0.92405174243193133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0.19690265486725664</v>
      </c>
      <c r="C14" s="1152">
        <f>IF(ISNUMBER(
   IF(J_V="SI",(Datos!J14-Datos!T14)/Datos!T14,(Datos!J14+Datos!Z14-(Datos!T14+Datos!AH14))/(Datos!T14+Datos!AH14))
     ),IF(J_V="SI",(Datos!J14-Datos!T14)/Datos!T14,(Datos!J14+Datos!Z14-(Datos!T14+Datos!AH14))/(Datos!T14+Datos!AH14))," - ")</f>
        <v>-0.40492957746478875</v>
      </c>
      <c r="D14" s="1152">
        <f>IF(ISNUMBER(
   IF(J_V="SI",(Datos!K14-Datos!U14)/Datos!U14,(Datos!K14+Datos!AA14-(Datos!U14+Datos!AI14))/(Datos!U14+Datos!AI14))
     ),IF(J_V="SI",(Datos!K14-Datos!U14)/Datos!U14,(Datos!K14+Datos!AA14-(Datos!U14+Datos!AI14))/(Datos!U14+Datos!AI14))," - ")</f>
        <v>-0.57318573185731858</v>
      </c>
      <c r="E14" s="1152">
        <f>IF(ISNUMBER(
   IF(J_V="SI",(Datos!L14-Datos!V14)/Datos!V14,(Datos!L14+Datos!AB14-(Datos!V14+Datos!AJ14))/(Datos!V14+Datos!AJ14))
     ),IF(J_V="SI",(Datos!L14-Datos!V14)/Datos!V14,(Datos!L14+Datos!AB14-(Datos!V14+Datos!AJ14))/(Datos!V14+Datos!AJ14))," - ")</f>
        <v>0.43699186991869921</v>
      </c>
      <c r="F14" s="1153">
        <f>IF(ISNUMBER((Datos!M14-Datos!W14)/Datos!W14),(Datos!M14-Datos!W14)/Datos!W14," - ")</f>
        <v>-1.8867924528301886E-2</v>
      </c>
      <c r="G14" s="1154">
        <f>IF(ISNUMBER((Datos!N14-Datos!X14)/Datos!X14),(Datos!N14-Datos!X14)/Datos!X14," - ")</f>
        <v>0.53703703703703709</v>
      </c>
      <c r="H14" s="1154">
        <f>IF(ISNUMBER(((NºAsuntos!G14/NºAsuntos!E14)-Datos!BD14)/Datos!BD14),((NºAsuntos!G14/NºAsuntos!E14)-Datos!BD14)/Datos!BD14," - ")</f>
        <v>-0.28274998726318612</v>
      </c>
      <c r="I14" s="1154">
        <f>IF(ISNUMBER(((NºAsuntos!I14/NºAsuntos!G14)-Datos!BE14)/Datos!BE14),((NºAsuntos!I14/NºAsuntos!G14)-Datos!BE14)/Datos!BE14," - ")</f>
        <v>2.3667849862936667</v>
      </c>
      <c r="J14" s="1154">
        <f>IF(ISNUMBER((('Resol  Asuntos'!D14/NºAsuntos!G14)-Datos!BF14)/Datos!BF14),(('Resol  Asuntos'!D14/NºAsuntos!G14)-Datos!BF14)/Datos!BF14," - ")</f>
        <v>0.12808197246237582</v>
      </c>
      <c r="K14" s="1154">
        <f>IF(ISNUMBER((((NºAsuntos!C14+NºAsuntos!E14)/NºAsuntos!G14)-Datos!BG14)/Datos!BG14),(((NºAsuntos!C14+NºAsuntos!E14)/NºAsuntos!G14)-Datos!BG14)/Datos!BG14," - ")</f>
        <v>0.88297590212337129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0.51282051282051277</v>
      </c>
      <c r="C17" s="515">
        <f>IF(ISNUMBER(
   IF(D_I="SI",(Datos!J17-Datos!T17)/Datos!T17,(Datos!J17+Datos!AD17-(Datos!T17+Datos!AL17))/(Datos!T17+Datos!AL17))
     ),IF(D_I="SI",(Datos!J17-Datos!T17)/Datos!T17,(Datos!J17+Datos!AD17-(Datos!T17+Datos!AL17))/(Datos!T17+Datos!AL17))," - ")</f>
        <v>-2.2357723577235773E-2</v>
      </c>
      <c r="D17" s="515">
        <f>IF(ISNUMBER(
   IF(D_I="SI",(Datos!K17-Datos!U17)/Datos!U17,(Datos!K17+Datos!AE17-(Datos!U17+Datos!AM17))/(Datos!U17+Datos!AM17))
     ),IF(D_I="SI",(Datos!K17-Datos!U17)/Datos!U17,(Datos!K17+Datos!AE17-(Datos!U17+Datos!AM17))/(Datos!U17+Datos!AM17))," - ")</f>
        <v>4.9261083743842365E-3</v>
      </c>
      <c r="E17" s="515">
        <f>IF(ISNUMBER(
   IF(D_I="SI",(Datos!L17-Datos!V17)/Datos!V17,(Datos!L17+Datos!AF17-(Datos!V17+Datos!AN17))/(Datos!V17+Datos!AN17))
     ),IF(D_I="SI",(Datos!L17-Datos!V17)/Datos!V17,(Datos!L17+Datos!AF17-(Datos!V17+Datos!AN17))/(Datos!V17+Datos!AN17))," - ")</f>
        <v>0.3446153846153846</v>
      </c>
      <c r="F17" s="515">
        <f>IF(ISNUMBER((Datos!M17-Datos!W17)/Datos!W17),(Datos!M17-Datos!W17)/Datos!W17," - ")</f>
        <v>0.19230769230769232</v>
      </c>
      <c r="G17" s="516">
        <f>IF(ISNUMBER((Datos!N17-Datos!X17)/Datos!X17),(Datos!N17-Datos!X17)/Datos!X17," - ")</f>
        <v>0.23267326732673269</v>
      </c>
      <c r="H17" s="514">
        <f>IF(ISNUMBER(((NºAsuntos!G17/NºAsuntos!E17)-Datos!BD17)/Datos!BD17),((NºAsuntos!G17/NºAsuntos!E17)-Datos!BD17)/Datos!BD17," - ")</f>
        <v>2.7907786528476249E-2</v>
      </c>
      <c r="I17" s="515">
        <f>IF(ISNUMBER(((NºAsuntos!I17/NºAsuntos!G17)-Datos!BE17)/Datos!BE17),((NºAsuntos!I17/NºAsuntos!G17)-Datos!BE17)/Datos!BE17," - ")</f>
        <v>0.33802413273001508</v>
      </c>
      <c r="J17" s="521">
        <f>IF(ISNUMBER((('Resol  Asuntos'!D17/NºAsuntos!G17)-Datos!BF17)/Datos!BF17),(('Resol  Asuntos'!D17/NºAsuntos!G17)-Datos!BF17)/Datos!BF17," - ")</f>
        <v>0.18646304675716421</v>
      </c>
      <c r="K17" s="522">
        <f>IF(ISNUMBER((((NºAsuntos!C17+NºAsuntos!E17)/NºAsuntos!G17)-Datos!BG17)/Datos!BG17),(((NºAsuntos!C17+NºAsuntos!E17)/NºAsuntos!G17)-Datos!BG17)/Datos!BG17," - ")</f>
        <v>0.14449981094366116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-0.73333333333333328</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3.4482758620689655E-2</v>
      </c>
      <c r="E18" s="515">
        <f>IF(ISNUMBER(
   IF(D_I="SI",(Datos!L18-Datos!V18)/Datos!V18,(Datos!L18+Datos!AF18-(Datos!V18+Datos!AN18))/(Datos!V18+Datos!AN18))
     ),IF(D_I="SI",(Datos!L18-Datos!V18)/Datos!V18,(Datos!L18+Datos!AF18-(Datos!V18+Datos!AN18))/(Datos!V18+Datos!AN18))," - ")</f>
        <v>-0.67647058823529416</v>
      </c>
      <c r="F18" s="515">
        <f>IF(ISNUMBER((Datos!M18-Datos!W18)/Datos!W18),(Datos!M18-Datos!W18)/Datos!W18," - ")</f>
        <v>2</v>
      </c>
      <c r="G18" s="516">
        <f>IF(ISNUMBER((Datos!N18-Datos!X18)/Datos!X18),(Datos!N18-Datos!X18)/Datos!X18," - ")</f>
        <v>0.10526315789473684</v>
      </c>
      <c r="H18" s="514">
        <f>IF(ISNUMBER(((NºAsuntos!G18/NºAsuntos!E18)-Datos!BD18)/Datos!BD18),((NºAsuntos!G18/NºAsuntos!E18)-Datos!BD18)/Datos!BD18," - ")</f>
        <v>3.4482758620689627E-2</v>
      </c>
      <c r="I18" s="515">
        <f>IF(ISNUMBER(((NºAsuntos!I18/NºAsuntos!G18)-Datos!BE18)/Datos!BE18),((NºAsuntos!I18/NºAsuntos!G18)-Datos!BE18)/Datos!BE18," - ")</f>
        <v>-0.68725490196078431</v>
      </c>
      <c r="J18" s="521">
        <f>IF(ISNUMBER((('Resol  Asuntos'!D18/NºAsuntos!G18)-Datos!BF18)/Datos!BF18),(('Resol  Asuntos'!D18/NºAsuntos!G18)-Datos!BF18)/Datos!BF18," - ")</f>
        <v>1.9000000000000001</v>
      </c>
      <c r="K18" s="522">
        <f>IF(ISNUMBER((((NºAsuntos!C18+NºAsuntos!E18)/NºAsuntos!G18)-Datos!BG18)/Datos!BG18),(((NºAsuntos!C18+NºAsuntos!E18)/NºAsuntos!G18)-Datos!BG18)/Datos!BG18," - ")</f>
        <v>-0.3708994708994709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0.37121212121212122</v>
      </c>
      <c r="C23" s="1152">
        <f>IF(ISNUMBER(
   IF(Criterios!B14="SI",(Datos!J23-Datos!T23)/Datos!T23,(Datos!J23+Datos!AD23-(Datos!T23+Datos!AL23))/(Datos!T23+Datos!AL23))
     ),IF(Criterios!B14="SI",(Datos!J23-Datos!T23)/Datos!T23,(Datos!J23+Datos!AD23-(Datos!T23+Datos!AL23))/(Datos!T23+Datos!AL23))," - ")</f>
        <v>-2.0952380952380951E-2</v>
      </c>
      <c r="D23" s="1152">
        <f>IF(ISNUMBER(
   IF(Criterios!B14="SI",(Datos!K23-Datos!U23)/Datos!U23,(Datos!K23+Datos!AE23-(Datos!U23+Datos!AM23))/(Datos!U23+Datos!AM23))
     ),IF(Criterios!B14="SI",(Datos!K23-Datos!U23)/Datos!U23,(Datos!K23+Datos!AE23-(Datos!U23+Datos!AM23))/(Datos!U23+Datos!AM23))," - ")</f>
        <v>6.8965517241379309E-3</v>
      </c>
      <c r="E23" s="1152">
        <f>IF(ISNUMBER(
   IF(Criterios!B14="SI",(Datos!L23-Datos!V23)/Datos!V23,(Datos!L23+Datos!AF23-(Datos!V23+Datos!AN23))/(Datos!V23+Datos!AN23))
     ),IF(Criterios!B14="SI",(Datos!L23-Datos!V23)/Datos!V23,(Datos!L23+Datos!AF23-(Datos!V23+Datos!AN23))/(Datos!V23+Datos!AN23))," - ")</f>
        <v>0.24791086350974931</v>
      </c>
      <c r="F23" s="1153">
        <f>IF(ISNUMBER((Datos!M23-Datos!W23)/Datos!W23),(Datos!M23-Datos!W23)/Datos!W23," - ")</f>
        <v>0.25925925925925924</v>
      </c>
      <c r="G23" s="1154">
        <f>IF(ISNUMBER((Datos!N23-Datos!X23)/Datos!X23),(Datos!N23-Datos!X23)/Datos!X23," - ")</f>
        <v>0.22171945701357465</v>
      </c>
      <c r="H23" s="1154">
        <f>IF(ISNUMBER(((NºAsuntos!G23/NºAsuntos!E23)-Datos!BD23)/Datos!BD23),((NºAsuntos!G23/NºAsuntos!E23)-Datos!BD23)/Datos!BD23," - ")</f>
        <v>2.8444921508117435E-2</v>
      </c>
      <c r="I23" s="1154">
        <f>IF(ISNUMBER(((NºAsuntos!I23/NºAsuntos!G23)-Datos!BE23)/Datos!BE23),((NºAsuntos!I23/NºAsuntos!G23)-Datos!BE23)/Datos!BE23," - ")</f>
        <v>0.23936352882817569</v>
      </c>
      <c r="J23" s="1154">
        <f>IF(ISNUMBER((('Resol  Asuntos'!D23/NºAsuntos!G23)-Datos!BF23)/Datos!BF23),(('Resol  Asuntos'!D23/NºAsuntos!G23)-Datos!BF23)/Datos!BF23," - ")</f>
        <v>0.25063419583967522</v>
      </c>
      <c r="K23" s="1154">
        <f>IF(ISNUMBER((((NºAsuntos!C23+NºAsuntos!E23)/NºAsuntos!G23)-Datos!BG23)/Datos!BG23),(((NºAsuntos!C23+NºAsuntos!E23)/NºAsuntos!G23)-Datos!BG23)/Datos!BG23," - ")</f>
        <v>0.10266159695817487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0.26117318435754189</v>
      </c>
      <c r="C31" s="1092">
        <f>IF(ISNUMBER(
   IF(J_V="SI",(Datos!J31-Datos!T31)/Datos!T31,(Datos!J31+Datos!Z31-(Datos!T31+Datos!AH31))/(Datos!T31+Datos!AH31))
     ),IF(J_V="SI",(Datos!J31-Datos!T31)/Datos!T31,(Datos!J31+Datos!Z31-(Datos!T31+Datos!AH31))/(Datos!T31+Datos!AH31))," - ")</f>
        <v>-0.25853304284676831</v>
      </c>
      <c r="D31" s="1092">
        <f>IF(ISNUMBER(
   IF(J_V="SI",(Datos!K31-Datos!U31)/Datos!U31,(Datos!K31+Datos!AA31-(Datos!U31+Datos!AI31))/(Datos!U31+Datos!AI31))
     ),IF(J_V="SI",(Datos!K31-Datos!U31)/Datos!U31,(Datos!K31+Datos!AA31-(Datos!U31+Datos!AI31))/(Datos!U31+Datos!AI31))," - ")</f>
        <v>-0.37099358974358976</v>
      </c>
      <c r="E31" s="1092">
        <f>IF(ISNUMBER(
   IF(J_V="SI",(Datos!L31-Datos!V31)/Datos!V31,(Datos!L31+Datos!AB31-(Datos!V31+Datos!AJ31))/(Datos!V31+Datos!AJ31))
     ),IF(J_V="SI",(Datos!L31-Datos!V31)/Datos!V31,(Datos!L31+Datos!AB31-(Datos!V31+Datos!AJ31))/(Datos!V31+Datos!AJ31))," - ")</f>
        <v>0.35722679200940072</v>
      </c>
      <c r="F31" s="1093">
        <f>IF(ISNUMBER((Datos!M31-Datos!W31)/Datos!W31),(Datos!M31-Datos!W31)/Datos!W31," - ")</f>
        <v>7.4999999999999997E-2</v>
      </c>
      <c r="G31" s="1094">
        <f>IF(ISNUMBER((Datos!N31-Datos!X31)/Datos!X31),(Datos!N31-Datos!X31)/Datos!X31," - ")</f>
        <v>0.32522796352583588</v>
      </c>
      <c r="H31" s="1095">
        <f>IF(ISNUMBER((Tasas!B31-Datos!BD31)/Datos!BD31),(Tasas!B31-Datos!BD31)/Datos!BD31," - ")</f>
        <v>-0.15167303925261802</v>
      </c>
      <c r="I31" s="1096">
        <f>IF(ISNUMBER((Tasas!C31-Datos!BE31)/Datos!BE31),(Tasas!C31-Datos!BE31)/Datos!BE31," - ")</f>
        <v>1.1577312565958369</v>
      </c>
      <c r="J31" s="1097">
        <f>IF(ISNUMBER((Tasas!D31-Datos!BF31)/Datos!BF31),(Tasas!D31-Datos!BF31)/Datos!BF31," - ")</f>
        <v>1.2767162066525116E-2</v>
      </c>
      <c r="K31" s="1097">
        <f>IF(ISNUMBER((Tasas!E31-Datos!BG31)/Datos!BG31),(Tasas!E31-Datos!BG31)/Datos!BG31," - ")</f>
        <v>0.46143925307591882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tNrJ9IlEBc4475xKZpIfaNGi5wORLDwHOX9Oxp5j7+7Cm4rr83BwHc26Rfn5uBMbSCSOFG7IVSbkUnFWXz4gA==" saltValue="eqzWW9oBwFQJ0XN/HC+I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LA ALMUNIA DE DOÑA GODINA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0.9285714285714286</v>
      </c>
      <c r="C10" s="498">
        <f>IF(ISNUMBER(NºAsuntos!I10/NºAsuntos!G10),NºAsuntos!I10/NºAsuntos!G10," - ")</f>
        <v>0.69230769230769229</v>
      </c>
      <c r="D10" s="499">
        <f>IF(ISNUMBER('Resol  Asuntos'!D10/NºAsuntos!G10),'Resol  Asuntos'!D10/NºAsuntos!G10," - ")</f>
        <v>0.46153846153846156</v>
      </c>
      <c r="E10" s="500">
        <f>IF(ISNUMBER((NºAsuntos!C10+NºAsuntos!E10)/NºAsuntos!G10),(NºAsuntos!C10+NºAsuntos!E10)/NºAsuntos!G10," - ")</f>
        <v>1.6923076923076923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0.67748478701825554</v>
      </c>
      <c r="C12" s="498">
        <f>IF(ISNUMBER(NºAsuntos!I12/NºAsuntos!G12),NºAsuntos!I12/NºAsuntos!G12," - ")</f>
        <v>2.0898203592814371</v>
      </c>
      <c r="D12" s="499">
        <f>IF(ISNUMBER('Resol  Asuntos'!D12/NºAsuntos!G12),'Resol  Asuntos'!D12/NºAsuntos!G12," - ")</f>
        <v>0.1377245508982036</v>
      </c>
      <c r="E12" s="500">
        <f>IF(ISNUMBER((NºAsuntos!C12+NºAsuntos!E12)/NºAsuntos!G12),(NºAsuntos!C12+NºAsuntos!E12)/NºAsuntos!G12," - ")</f>
        <v>3.0718562874251498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0.68441814595660755</v>
      </c>
      <c r="C14" s="1156">
        <f>IF(ISNUMBER(NºAsuntos!I14/NºAsuntos!G14),NºAsuntos!I14/NºAsuntos!G14," - ")</f>
        <v>2.0374639769452449</v>
      </c>
      <c r="D14" s="1157">
        <f>IF(ISNUMBER('Resol  Asuntos'!D14/NºAsuntos!G14),'Resol  Asuntos'!D14/NºAsuntos!G14," - ")</f>
        <v>0.14985590778097982</v>
      </c>
      <c r="E14" s="1158">
        <f>IF(ISNUMBER((NºAsuntos!C14+NºAsuntos!E14)/NºAsuntos!G14),(NºAsuntos!C14+NºAsuntos!E14)/NºAsuntos!G14," - ")</f>
        <v>3.0201729106628243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0.84823284823284828</v>
      </c>
      <c r="C17" s="498">
        <f>IF(ISNUMBER(NºAsuntos!I17/NºAsuntos!G17),NºAsuntos!I17/NºAsuntos!G17," - ")</f>
        <v>1.071078431372549</v>
      </c>
      <c r="D17" s="499">
        <f>IF(ISNUMBER('Resol  Asuntos'!D17/NºAsuntos!G17),'Resol  Asuntos'!D17/NºAsuntos!G17," - ")</f>
        <v>7.5980392156862739E-2</v>
      </c>
      <c r="E17" s="500">
        <f>IF(ISNUMBER((NºAsuntos!C17+NºAsuntos!E17)/NºAsuntos!G17),(NºAsuntos!C17+NºAsuntos!E17)/NºAsuntos!G17," - ")</f>
        <v>2.0465686274509802</v>
      </c>
      <c r="G17" s="523"/>
    </row>
    <row r="18" spans="1:7">
      <c r="A18" s="450" t="str">
        <f>Datos!A18</f>
        <v>Jdos. Violencia contra la mujer</v>
      </c>
      <c r="B18" s="497">
        <f>IF(ISNUMBER(NºAsuntos!G18/NºAsuntos!E18),NºAsuntos!G18/NºAsuntos!E18," - ")</f>
        <v>0.90909090909090906</v>
      </c>
      <c r="C18" s="498">
        <f>IF(ISNUMBER(NºAsuntos!I18/NºAsuntos!G18),NºAsuntos!I18/NºAsuntos!G18," - ")</f>
        <v>0.36666666666666664</v>
      </c>
      <c r="D18" s="499">
        <f>IF(ISNUMBER('Resol  Asuntos'!D18/NºAsuntos!G18),'Resol  Asuntos'!D18/NºAsuntos!G18," - ")</f>
        <v>0.1</v>
      </c>
      <c r="E18" s="500">
        <f>IF(ISNUMBER((NºAsuntos!C18+NºAsuntos!E18)/NºAsuntos!G18),(NºAsuntos!C18+NºAsuntos!E18)/NºAsuntos!G18," - ")</f>
        <v>1.3666666666666667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0.85214007782101164</v>
      </c>
      <c r="C23" s="1156">
        <f>IF(ISNUMBER(NºAsuntos!I23/NºAsuntos!G23),NºAsuntos!I23/NºAsuntos!G23," - ")</f>
        <v>1.0228310502283104</v>
      </c>
      <c r="D23" s="1159">
        <f>IF(ISNUMBER('Resol  Asuntos'!D23/NºAsuntos!G23),'Resol  Asuntos'!D23/NºAsuntos!G23," - ")</f>
        <v>7.7625570776255703E-2</v>
      </c>
      <c r="E23" s="1158">
        <f>IF(ISNUMBER((NºAsuntos!C23+NºAsuntos!E23)/NºAsuntos!G23),(NºAsuntos!C23+NºAsuntos!E23)/NºAsuntos!G23," - ")</f>
        <v>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0.76885406464250738</v>
      </c>
      <c r="C31" s="1099">
        <f>IF(ISNUMBER(NºAsuntos!I31/NºAsuntos!G31),NºAsuntos!I31/NºAsuntos!G31," - ")</f>
        <v>1.4713375796178343</v>
      </c>
      <c r="D31" s="1100">
        <f>IF(ISNUMBER('Resol  Asuntos'!D31/NºAsuntos!G31),'Resol  Asuntos'!D31/NºAsuntos!G31," - ")</f>
        <v>0.10955414012738854</v>
      </c>
      <c r="E31" s="1101">
        <f>IF(ISNUMBER((NºAsuntos!C31+NºAsuntos!E31)/NºAsuntos!G31),(NºAsuntos!C31+NºAsuntos!E31)/NºAsuntos!G31," - ")</f>
        <v>2.4509554140127388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QJTHAXO9k7uvlbeDccdiJSBzdIHukevMUcCLH1f1SPKxt1TlVX/iRQIEKW+e8UqS1hQ70ajRcUejjvjzGl0sQ==" saltValue="8991FV1gof46rVlq+Tobn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LA ALMUNIA DE DOÑA GODINA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9</v>
      </c>
      <c r="AB10" s="374">
        <f>IF(ISNUMBER(Datos!R10),Datos!R10," - ")</f>
        <v>5</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0.9285714285714286</v>
      </c>
      <c r="AM10" s="284">
        <f>IF(ISNUMBER(((NºAsuntos!I10/NºAsuntos!G10)*11)/factor_trimestre),((NºAsuntos!I10/NºAsuntos!G10)*11)/factor_trimestre," - ")</f>
        <v>1.3846153846153846</v>
      </c>
      <c r="AN10" s="267">
        <f>IF(ISNUMBER('Resol  Asuntos'!D10/NºAsuntos!G10),'Resol  Asuntos'!D10/NºAsuntos!G10," - ")</f>
        <v>0.46153846153846156</v>
      </c>
      <c r="AO10" s="268">
        <f>IF(ISNUMBER((NºAsuntos!C10+NºAsuntos!E10)/NºAsuntos!G10),(NºAsuntos!C10+NºAsuntos!E10)/NºAsuntos!G10," - ")</f>
        <v>1.6923076923076923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166</v>
      </c>
      <c r="Y12" s="374">
        <f t="shared" si="0"/>
        <v>166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v>
      </c>
      <c r="AJ12" s="243" t="str">
        <f>IF(ISNUMBER(Datos!BW12),Datos!BW12," - ")</f>
        <v xml:space="preserve"> - </v>
      </c>
      <c r="AK12" s="242" t="str">
        <f>IF(ISNUMBER(Datos!BX12),Datos!BX12," - ")</f>
        <v xml:space="preserve"> - </v>
      </c>
      <c r="AL12" s="266">
        <f>IF(ISNUMBER(NºAsuntos!G12/NºAsuntos!E12),NºAsuntos!G12/NºAsuntos!E12," - ")</f>
        <v>0.67748478701825554</v>
      </c>
      <c r="AM12" s="284">
        <f>IF(ISNUMBER(((NºAsuntos!I12/NºAsuntos!G12)*11)/factor_trimestre),((NºAsuntos!I12/NºAsuntos!G12)*11)/factor_trimestre," - ")</f>
        <v>4.1796407185628741</v>
      </c>
      <c r="AN12" s="267">
        <f>IF(ISNUMBER('Resol  Asuntos'!D12/NºAsuntos!G12),'Resol  Asuntos'!D12/NºAsuntos!G12," - ")</f>
        <v>0.1377245508982036</v>
      </c>
      <c r="AO12" s="268">
        <f>IF(ISNUMBER((NºAsuntos!C12+NºAsuntos!E12)/NºAsuntos!G12),(NºAsuntos!C12+NºAsuntos!E12)/NºAsuntos!G12," - ")</f>
        <v>3.0718562874251498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123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166</v>
      </c>
      <c r="Y14" s="1165">
        <f t="shared" si="6"/>
        <v>179</v>
      </c>
      <c r="Z14" s="1165">
        <f t="shared" si="6"/>
        <v>0</v>
      </c>
      <c r="AA14" s="1165">
        <f t="shared" si="6"/>
        <v>9</v>
      </c>
      <c r="AB14" s="1165">
        <f t="shared" si="6"/>
        <v>1317</v>
      </c>
      <c r="AC14" s="1165">
        <f t="shared" si="6"/>
        <v>14</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0.68441814595660755</v>
      </c>
      <c r="AM14" s="1171">
        <f>IF(ISNUMBER(((NºAsuntos!I14/NºAsuntos!G14)*11)/factor_trimestre),((NºAsuntos!I14/NºAsuntos!G14)*11)/factor_trimestre," - ")</f>
        <v>4.0749279538904899</v>
      </c>
      <c r="AN14" s="1172">
        <f>IF(ISNUMBER('Resol  Asuntos'!D14/NºAsuntos!G14),'Resol  Asuntos'!D14/NºAsuntos!G14," - ")</f>
        <v>0.14985590778097982</v>
      </c>
      <c r="AO14" s="1173">
        <f>IF(ISNUMBER((NºAsuntos!C14+NºAsuntos!E14)/NºAsuntos!G14),(NºAsuntos!C14+NºAsuntos!E14)/NºAsuntos!G14," - ")</f>
        <v>3.0201729106628243</v>
      </c>
      <c r="AP14" s="1174" t="str">
        <f t="shared" si="2"/>
        <v xml:space="preserve"> - </v>
      </c>
      <c r="AQ14" s="1174">
        <f>IF(ISNUMBER((H14-W14+K14)/(F14)),(H14-W14+K14)/(F14)," - ")</f>
        <v>-1.625</v>
      </c>
      <c r="AR14" s="1175">
        <f>IF(ISNUMBER((Datos!P14-Datos!Q14)/(Datos!R14-Datos!P14+Datos!Q14)),(Datos!P14-Datos!Q14)/(Datos!R14-Datos!P14+Datos!Q14)," - ")</f>
        <v>-3.1617647058823528E-2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364</v>
      </c>
      <c r="G17" s="373">
        <f>IF(ISNUMBER(IF(D_I="SI",Datos!I17,Datos!I17+Datos!AC17)),IF(D_I="SI",Datos!I17,Datos!I17+Datos!AC17)," - ")</f>
        <v>354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408</v>
      </c>
      <c r="X17" s="240">
        <f>IF(ISNUMBER(Datos!Q17),Datos!Q17," - ")</f>
        <v>4</v>
      </c>
      <c r="Y17" s="374">
        <f t="shared" ref="Y17:Y22" si="9">SUM(W17:X17)</f>
        <v>412</v>
      </c>
      <c r="Z17" s="375" t="str">
        <f>IF(ISNUMBER(Datos!CC17),Datos!CC17," - ")</f>
        <v xml:space="preserve"> - </v>
      </c>
      <c r="AA17" s="372">
        <f>IF(ISNUMBER(IF(D_I="SI",Datos!L17,Datos!L17+Datos!AF17)),IF(D_I="SI",Datos!L17,Datos!L17+Datos!AF17)," - ")</f>
        <v>437</v>
      </c>
      <c r="AB17" s="374">
        <f>IF(ISNUMBER(Datos!R17),Datos!R17," - ")</f>
        <v>60</v>
      </c>
      <c r="AC17" s="374">
        <f t="shared" si="8"/>
        <v>497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0.84823284823284828</v>
      </c>
      <c r="AM17" s="284">
        <f>IF(ISNUMBER(((NºAsuntos!I17/NºAsuntos!G17)*11)/factor_trimestre),((NºAsuntos!I17/NºAsuntos!G17)*11)/factor_trimestre," - ")</f>
        <v>2.142156862745098</v>
      </c>
      <c r="AN17" s="267">
        <f>IF(ISNUMBER('Resol  Asuntos'!D17/NºAsuntos!G17),'Resol  Asuntos'!D17/NºAsuntos!G17," - ")</f>
        <v>7.5980392156862739E-2</v>
      </c>
      <c r="AO17" s="268">
        <f>IF(ISNUMBER((NºAsuntos!C17+NºAsuntos!E17)/NºAsuntos!G17),(NºAsuntos!C17+NºAsuntos!E17)/NºAsuntos!G17," - ")</f>
        <v>2.0465686274509802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11</v>
      </c>
      <c r="AB18" s="374">
        <f>IF(ISNUMBER(Datos!R18),Datos!R18," - ")</f>
        <v>2</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0.90909090909090906</v>
      </c>
      <c r="AM18" s="284">
        <f>IF(ISNUMBER(((NºAsuntos!I18/NºAsuntos!G18)*11)/factor_trimestre),((NºAsuntos!I18/NºAsuntos!G18)*11)/factor_trimestre," - ")</f>
        <v>0.73333333333333328</v>
      </c>
      <c r="AN18" s="267">
        <f>IF(ISNUMBER('Resol  Asuntos'!D18/NºAsuntos!G18),'Resol  Asuntos'!D18/NºAsuntos!G18," - ")</f>
        <v>0.1</v>
      </c>
      <c r="AO18" s="268">
        <f>IF(ISNUMBER((NºAsuntos!C18+NºAsuntos!E18)/NºAsuntos!G18),(NºAsuntos!C18+NºAsuntos!E18)/NºAsuntos!G18," - ")</f>
        <v>1.3666666666666667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364</v>
      </c>
      <c r="G23" s="1163">
        <f>SUBTOTAL(9,G16:G22)</f>
        <v>362</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438</v>
      </c>
      <c r="X23" s="1164">
        <f t="shared" si="14"/>
        <v>4</v>
      </c>
      <c r="Y23" s="1165">
        <f t="shared" si="14"/>
        <v>442</v>
      </c>
      <c r="Z23" s="1165">
        <f t="shared" si="14"/>
        <v>0</v>
      </c>
      <c r="AA23" s="1165">
        <f t="shared" si="14"/>
        <v>448</v>
      </c>
      <c r="AB23" s="1165">
        <f t="shared" si="14"/>
        <v>62</v>
      </c>
      <c r="AC23" s="1165">
        <f t="shared" si="14"/>
        <v>510</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0.85214007782101164</v>
      </c>
      <c r="AM23" s="1171">
        <f>IF(ISNUMBER(((NºAsuntos!I23/NºAsuntos!G23)*11)/factor_trimestre),((NºAsuntos!I23/NºAsuntos!G23)*11)/factor_trimestre," - ")</f>
        <v>2.0456621004566209</v>
      </c>
      <c r="AN23" s="1172">
        <f>IF(ISNUMBER('Resol  Asuntos'!D23/NºAsuntos!G23),'Resol  Asuntos'!D23/NºAsuntos!G23," - ")</f>
        <v>7.7625570776255703E-2</v>
      </c>
      <c r="AO23" s="1173">
        <f>IF(ISNUMBER((NºAsuntos!C23+NºAsuntos!E23)/NºAsuntos!G23),(NºAsuntos!C23+NºAsuntos!E23)/NºAsuntos!G23," - ")</f>
        <v>2</v>
      </c>
      <c r="AP23" s="1174" t="str">
        <f t="shared" si="2"/>
        <v xml:space="preserve"> - </v>
      </c>
      <c r="AQ23" s="1174">
        <f>IF(ISNUMBER((H23-W23+K23)/(F23)),(H23-W23+K23)/(F23)," - ")</f>
        <v>-1.2032967032967032</v>
      </c>
      <c r="AR23" s="1175">
        <f>IF(ISNUMBER((Datos!P23-Datos!Q23)/(Datos!R23-Datos!P23+Datos!Q23)),(Datos!P23-Datos!Q23)/(Datos!R23-Datos!P23+Datos!Q23)," - ")</f>
        <v>5.0847457627118647E-2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372</v>
      </c>
      <c r="G31" s="1118">
        <f t="shared" si="20"/>
        <v>370</v>
      </c>
      <c r="H31" s="1117">
        <f t="shared" si="20"/>
        <v>0</v>
      </c>
      <c r="I31" s="1119">
        <f t="shared" si="20"/>
        <v>0</v>
      </c>
      <c r="J31" s="1119">
        <f t="shared" si="20"/>
        <v>0</v>
      </c>
      <c r="K31" s="1180">
        <f t="shared" si="20"/>
        <v>0</v>
      </c>
      <c r="L31" s="1119">
        <f t="shared" si="20"/>
        <v>130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451</v>
      </c>
      <c r="X31" s="1118">
        <f t="shared" si="21"/>
        <v>170</v>
      </c>
      <c r="Y31" s="1125">
        <f t="shared" si="21"/>
        <v>621</v>
      </c>
      <c r="Z31" s="1125">
        <f t="shared" si="21"/>
        <v>0</v>
      </c>
      <c r="AA31" s="1125">
        <f t="shared" si="21"/>
        <v>457</v>
      </c>
      <c r="AB31" s="1125">
        <f t="shared" si="21"/>
        <v>1379</v>
      </c>
      <c r="AC31" s="1125">
        <f t="shared" si="21"/>
        <v>524</v>
      </c>
      <c r="AD31" s="1125">
        <f t="shared" si="21"/>
        <v>0</v>
      </c>
      <c r="AE31" s="1127">
        <f t="shared" si="21"/>
        <v>0</v>
      </c>
      <c r="AF31" s="1128">
        <f t="shared" si="21"/>
        <v>0</v>
      </c>
      <c r="AG31" s="1129">
        <f t="shared" si="21"/>
        <v>0</v>
      </c>
      <c r="AH31" s="1127">
        <f t="shared" si="21"/>
        <v>0</v>
      </c>
      <c r="AI31" s="1117">
        <f t="shared" si="21"/>
        <v>86</v>
      </c>
      <c r="AJ31" s="1117">
        <f t="shared" si="21"/>
        <v>0</v>
      </c>
      <c r="AK31" s="1127">
        <f t="shared" si="21"/>
        <v>0</v>
      </c>
      <c r="AL31" s="1183">
        <f>IF(ISNUMBER(NºAsuntos!G31/NºAsuntos!E31),NºAsuntos!G31/NºAsuntos!E31," - ")</f>
        <v>0.76885406464250738</v>
      </c>
      <c r="AM31" s="1184">
        <f>IF(ISNUMBER(((NºAsuntos!I31/NºAsuntos!G31)*11)/factor_trimestre),((NºAsuntos!I31/NºAsuntos!G31)*11)/factor_trimestre," - ")</f>
        <v>2.942675159235669</v>
      </c>
      <c r="AN31" s="1184">
        <f>IF(ISNUMBER('Resol  Asuntos'!D31/NºAsuntos!G31),'Resol  Asuntos'!D31/NºAsuntos!G31," - ")</f>
        <v>0.10955414012738854</v>
      </c>
      <c r="AO31" s="1185">
        <f>IF(ISNUMBER((NºAsuntos!C31+NºAsuntos!E31)/NºAsuntos!G31),(NºAsuntos!C31+NºAsuntos!E31)/NºAsuntos!G31," - ")</f>
        <v>2.4509554140127388</v>
      </c>
      <c r="AP31" s="1186" t="str">
        <f t="shared" si="2"/>
        <v xml:space="preserve"> - </v>
      </c>
      <c r="AQ31" s="1187">
        <f>IF(OR(ISNUMBER(FIND("01",Criterios!A8,1)),ISNUMBER(FIND("02",Criterios!A8,1)),ISNUMBER(FIND("03",Criterios!A8,1)),ISNUMBER(FIND("04",Criterios!A8,1))),(I31-W31+K31)/(F31-K31),(H31-W31+K31)/(F31-K31))</f>
        <v>-1.2123655913978495</v>
      </c>
      <c r="AR31" s="1188">
        <f>IF(ISNUMBER((Datos!P31-Datos!Q31)/(Datos!R31-Datos!P31+Datos!Q31)),(Datos!P31-Datos!Q31)/(Datos!R31-Datos!P31+Datos!Q31)," - ")</f>
        <v>-2.8188865398167725E-2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105.71428571428571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185.93762394953853</v>
      </c>
      <c r="G33" s="277">
        <f>IF(ISNUMBER(STDEV(G8:G30)),STDEV(G8:G30),"-")</f>
        <v>172.39655283262317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201.37728154836515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21.659705841558818</v>
      </c>
      <c r="AJ33" s="276">
        <f t="shared" si="25"/>
        <v>0</v>
      </c>
      <c r="AK33" s="278">
        <f t="shared" si="25"/>
        <v>0</v>
      </c>
      <c r="AL33" s="273">
        <f t="shared" si="25"/>
        <v>0.10970958869497831</v>
      </c>
      <c r="AM33" s="274">
        <f t="shared" si="25"/>
        <v>1.412022821269501</v>
      </c>
      <c r="AN33" s="274">
        <f t="shared" si="25"/>
        <v>0.14742126520867213</v>
      </c>
      <c r="AO33" s="275">
        <f t="shared" si="25"/>
        <v>0.69979327186580076</v>
      </c>
      <c r="AP33" s="317" t="str">
        <f t="shared" si="25"/>
        <v>-</v>
      </c>
      <c r="AQ33" s="318">
        <f t="shared" si="25"/>
        <v>0.29818926074762186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mHSD4O4/BYJ72pbi/glqVu+oQVbvkOMCrpg3sWMoCNsGzBdQ65bBCkr+R+uoLIz/8znz3P201v0tjHpbFmopA==" saltValue="wzQNpJe2AnufIjzJfpxZ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LA ALMUNIA DE DOÑA GODINA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6</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-0.13207547169811321</v>
      </c>
      <c r="I12" s="395">
        <f>IF(ISNUMBER((Tasas!C12-Datos!BE12)/Datos!BE12),(Tasas!C12-Datos!BE12)/Datos!BE12," - ")</f>
        <v>2.4959340578103055</v>
      </c>
      <c r="J12" s="394">
        <f>IF(ISNUMBER((Tasas!D12-Datos!BF12)/Datos!BF12),(Tasas!D12-Datos!BF12)/Datos!BF12," - ")</f>
        <v>3.6759813705921476E-2</v>
      </c>
      <c r="K12" s="396">
        <f>IF(ISNUMBER((Tasas!E12-Datos!BG12)/Datos!BG12),(Tasas!E12-Datos!BG12)/Datos!BG12," - ")</f>
        <v>0.92405174243193133</v>
      </c>
      <c r="M12" t="e">
        <f>IF(Monitorios="SI",Datos!CE12,0)</f>
        <v>#REF!</v>
      </c>
      <c r="N12" t="e">
        <f>IF(Monitorios="SI",Datos!CF12,0)</f>
        <v>#REF!</v>
      </c>
      <c r="O12" t="e">
        <f>IF(Monitorios="SI",Datos!CG12,0)</f>
        <v>#REF!</v>
      </c>
      <c r="P12" t="e">
        <f>IF(Monitorios="SI",Datos!CH12,0)</f>
        <v>#REF!</v>
      </c>
      <c r="Q12">
        <f>IF(J_V="SI",0,Datos!AG12)</f>
        <v>10</v>
      </c>
      <c r="R12">
        <f>IF(J_V="SI",0,Datos!AH12)</f>
        <v>54</v>
      </c>
      <c r="S12">
        <f>IF(J_V="SI",0,Datos!AI12)</f>
        <v>52</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-1.8867924528301886E-2</v>
      </c>
      <c r="I14" s="402">
        <f>IF(ISNUMBER((Tasas!C14-Datos!BE14)/Datos!BE14),(Tasas!C14-Datos!BE14)/Datos!BE14," - ")</f>
        <v>2.3667849862936667</v>
      </c>
      <c r="J14" s="400">
        <f>IF(ISNUMBER((Tasas!D14-Datos!BF14)/Datos!BF14),(Tasas!D14-Datos!BF14)/Datos!BF14," - ")</f>
        <v>0.12808197246237582</v>
      </c>
      <c r="K14" s="403">
        <f>IF(ISNUMBER((Tasas!E14-Datos!BG14)/Datos!BG14),(Tasas!E14-Datos!BG14)/Datos!BG14," - ")</f>
        <v>0.88297590212337129</v>
      </c>
      <c r="M14" t="e">
        <f>IF(Monitorios="SI",Datos!CE14,0)</f>
        <v>#REF!</v>
      </c>
      <c r="N14" t="e">
        <f>IF(Monitorios="SI",Datos!CF14,0)</f>
        <v>#REF!</v>
      </c>
      <c r="O14" t="e">
        <f>IF(Monitorios="SI",Datos!CG14,0)</f>
        <v>#REF!</v>
      </c>
      <c r="P14" t="e">
        <f>IF(Monitorios="SI",Datos!CH14,0)</f>
        <v>#REF!</v>
      </c>
      <c r="Q14">
        <f>IF(J_V="SI",0,Datos!AG14)</f>
        <v>10</v>
      </c>
      <c r="R14">
        <f>IF(J_V="SI",0,Datos!AH14)</f>
        <v>54</v>
      </c>
      <c r="S14">
        <f>IF(J_V="SI",0,Datos!AI14)</f>
        <v>52</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0.51282051282051277</v>
      </c>
      <c r="E17" s="393">
        <f>IF(ISNUMBER(
   IF(D_I="SI",(Datos!J17-Datos!T17)/Datos!T17,(Datos!J17+Datos!AD17-(Datos!T17+Datos!AL17))/(Datos!T17+Datos!AL17))
     ),IF(D_I="SI",(Datos!J17-Datos!T17)/Datos!T17,(Datos!J17+Datos!AD17-(Datos!T17+Datos!AL17))/(Datos!T17+Datos!AL17))," - ")</f>
        <v>-2.2357723577235773E-2</v>
      </c>
      <c r="F17" s="393">
        <f>IF(ISNUMBER(
   IF(D_I="SI",(Datos!K17-Datos!U17)/Datos!U17,(Datos!K17+Datos!AE17-(Datos!U17+Datos!AM17))/(Datos!U17+Datos!AM17))
     ),IF(D_I="SI",(Datos!K17-Datos!U17)/Datos!U17,(Datos!K17+Datos!AE17-(Datos!U17+Datos!AM17))/(Datos!U17+Datos!AM17))," - ")</f>
        <v>4.9261083743842365E-3</v>
      </c>
      <c r="G17" s="394">
        <f>IF(ISNUMBER(
   IF(D_I="SI",(Datos!L17-Datos!V17)/Datos!V17,(Datos!L17+Datos!AF17-(Datos!V17+Datos!AN17))/(Datos!V17+Datos!AN17))
     ),IF(D_I="SI",(Datos!L17-Datos!V17)/Datos!V17,(Datos!L17+Datos!AF17-(Datos!V17+Datos!AN17))/(Datos!V17+Datos!AN17))," - ")</f>
        <v>0.3446153846153846</v>
      </c>
      <c r="H17" s="244">
        <f>IF(ISNUMBER((Datos!M17-Datos!W17)/Datos!W17),(Datos!M17-Datos!W17)/Datos!W17," - ")</f>
        <v>0.19230769230769232</v>
      </c>
      <c r="I17" s="395">
        <f>IF(ISNUMBER((Tasas!C17-Datos!BE17)/Datos!BE17),(Tasas!C17-Datos!BE17)/Datos!BE17," - ")</f>
        <v>0.33802413273001508</v>
      </c>
      <c r="J17" s="394">
        <f>IF(ISNUMBER((Tasas!D17-Datos!BF17)/Datos!BF17),(Tasas!D17-Datos!BF17)/Datos!BF17," - ")</f>
        <v>0.18646304675716421</v>
      </c>
      <c r="K17" s="396">
        <f>IF(ISNUMBER((Tasas!E17-Datos!BG17)/Datos!BG17),(Tasas!E17-Datos!BG17)/Datos!BG17," - ")</f>
        <v>0.14449981094366116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-0.73333333333333328</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3.4482758620689655E-2</v>
      </c>
      <c r="G18" s="394">
        <f>IF(ISNUMBER(
   IF(D_I="SI",(Datos!L18-Datos!V18)/Datos!V18,(Datos!L18+Datos!AF18-(Datos!V18+Datos!AN18))/(Datos!V18+Datos!AN18))
     ),IF(D_I="SI",(Datos!L18-Datos!V18)/Datos!V18,(Datos!L18+Datos!AF18-(Datos!V18+Datos!AN18))/(Datos!V18+Datos!AN18))," - ")</f>
        <v>-0.67647058823529416</v>
      </c>
      <c r="H18" s="244">
        <f>IF(ISNUMBER((Datos!M18-Datos!W18)/Datos!W18),(Datos!M18-Datos!W18)/Datos!W18," - ")</f>
        <v>2</v>
      </c>
      <c r="I18" s="395">
        <f>IF(ISNUMBER((Tasas!C18-Datos!BE18)/Datos!BE18),(Tasas!C18-Datos!BE18)/Datos!BE18," - ")</f>
        <v>-0.68725490196078431</v>
      </c>
      <c r="J18" s="394">
        <f>IF(ISNUMBER((Tasas!D18-Datos!BF18)/Datos!BF18),(Tasas!D18-Datos!BF18)/Datos!BF18," - ")</f>
        <v>1.9000000000000001</v>
      </c>
      <c r="K18" s="396">
        <f>IF(ISNUMBER((Tasas!E18-Datos!BG18)/Datos!BG18),(Tasas!E18-Datos!BG18)/Datos!BG18," - ")</f>
        <v>-0.3708994708994709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0.37121212121212122</v>
      </c>
      <c r="E23" s="399">
        <f>IF(ISNUMBER(
   IF(D_I="SI",(Datos!J23-Datos!T23)/Datos!T23,(Datos!J23+Datos!AD23-(Datos!T23+Datos!AL23))/(Datos!T23+Datos!AL23))
     ),IF(D_I="SI",(Datos!J23-Datos!T23)/Datos!T23,(Datos!J23+Datos!AD23-(Datos!T23+Datos!AL23))/(Datos!T23+Datos!AL23))," - ")</f>
        <v>-2.0952380952380951E-2</v>
      </c>
      <c r="F23" s="399">
        <f>IF(ISNUMBER(
   IF(D_I="SI",(Datos!K23-Datos!U23)/Datos!U23,(Datos!K23+Datos!AE23-(Datos!U23+Datos!AM23))/(Datos!U23+Datos!AM23))
     ),IF(D_I="SI",(Datos!K23-Datos!U23)/Datos!U23,(Datos!K23+Datos!AE23-(Datos!U23+Datos!AM23))/(Datos!U23+Datos!AM23))," - ")</f>
        <v>6.8965517241379309E-3</v>
      </c>
      <c r="G23" s="400">
        <f>IF(ISNUMBER(
   IF(D_I="SI",(Datos!L23-Datos!V23)/Datos!V23,(Datos!L23+Datos!AF23-(Datos!V23+Datos!AN23))/(Datos!V23+Datos!AN23))
     ),IF(D_I="SI",(Datos!L23-Datos!V23)/Datos!V23,(Datos!L23+Datos!AF23-(Datos!V23+Datos!AN23))/(Datos!V23+Datos!AN23))," - ")</f>
        <v>0.24791086350974931</v>
      </c>
      <c r="H23" s="401">
        <f>IF(ISNUMBER((Datos!M23-Datos!W23)/Datos!W23),(Datos!M23-Datos!W23)/Datos!W23," - ")</f>
        <v>0.25925925925925924</v>
      </c>
      <c r="I23" s="402">
        <f>IF(ISNUMBER((Tasas!C23-Datos!BE23)/Datos!BE23),(Tasas!C23-Datos!BE23)/Datos!BE23," - ")</f>
        <v>0.23936352882817569</v>
      </c>
      <c r="J23" s="400">
        <f>IF(ISNUMBER((Tasas!D23-Datos!BF23)/Datos!BF23),(Tasas!D23-Datos!BF23)/Datos!BF23," - ")</f>
        <v>0.25063419583967522</v>
      </c>
      <c r="K23" s="403">
        <f>IF(ISNUMBER((Tasas!E23-Datos!BG23)/Datos!BG23),(Tasas!E23-Datos!BG23)/Datos!BG23," - ")</f>
        <v>0.10266159695817487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0.26117318435754189</v>
      </c>
      <c r="E31" s="409">
        <f>IF(ISNUMBER(
   IF(J_V="SI",(Datos!J31-Datos!T31)/Datos!T31,(Datos!J31+Datos!Z31-(Datos!T31+Datos!AH31))/(Datos!T31+Datos!AH31))
     ),IF(J_V="SI",(Datos!J31-Datos!T31)/Datos!T31,(Datos!J31+Datos!Z31-(Datos!T31+Datos!AH31))/(Datos!T31+Datos!AH31))," - ")</f>
        <v>-0.25853304284676831</v>
      </c>
      <c r="F31" s="409">
        <f>IF(ISNUMBER(
   IF(J_V="SI",(Datos!K31-Datos!U31)/Datos!U31,(Datos!K31+Datos!AA31-(Datos!U31+Datos!AI31))/(Datos!U31+Datos!AI31))
     ),IF(J_V="SI",(Datos!K31-Datos!U31)/Datos!U31,(Datos!K31+Datos!AA31-(Datos!U31+Datos!AI31))/(Datos!U31+Datos!AI31))," - ")</f>
        <v>-0.37099358974358976</v>
      </c>
      <c r="G31" s="410">
        <f>IF(ISNUMBER(
   IF(J_V="SI",(Datos!L31-Datos!V31)/Datos!V31,(Datos!L31+Datos!AB31-(Datos!V31+Datos!AJ31))/(Datos!V31+Datos!AJ31))
     ),IF(J_V="SI",(Datos!L31-Datos!V31)/Datos!V31,(Datos!L31+Datos!AB31-(Datos!V31+Datos!AJ31))/(Datos!V31+Datos!AJ31))," - ")</f>
        <v>0.35722679200940072</v>
      </c>
      <c r="H31" s="411">
        <f>IF(ISNUMBER((Datos!M31-Datos!W31)/Datos!W31),(Datos!M31-Datos!W31)/Datos!W31," - ")</f>
        <v>7.4999999999999997E-2</v>
      </c>
      <c r="I31" s="408">
        <f>IF(ISNUMBER((Tasas!C31-Datos!BE31)/Datos!BE31),(Tasas!C31-Datos!BE31)/Datos!BE31," - ")</f>
        <v>1.1577312565958369</v>
      </c>
      <c r="J31" s="409">
        <f>IF(ISNUMBER((Tasas!D31-Datos!BF31)/Datos!BF31),(Tasas!D31-Datos!BF31)/Datos!BF31," - ")</f>
        <v>1.2767162066525116E-2</v>
      </c>
      <c r="K31" s="410">
        <f>IF(ISNUMBER((Tasas!E31-Datos!BG31)/Datos!BG31),(Tasas!E31-Datos!BG31)/Datos!BG31," - ")</f>
        <v>0.46143925307591882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0.73201408796202116</v>
      </c>
      <c r="E33" s="303">
        <f t="shared" si="1"/>
        <v>3.00723573194007</v>
      </c>
      <c r="F33" s="303">
        <f t="shared" si="1"/>
        <v>1.6525117406120358E-2</v>
      </c>
      <c r="G33" s="304">
        <f t="shared" si="1"/>
        <v>0.53058346446013915</v>
      </c>
      <c r="H33" s="310">
        <f t="shared" si="1"/>
        <v>0.87513196035728069</v>
      </c>
      <c r="I33" s="302">
        <f t="shared" si="1"/>
        <v>1.4104354338468601</v>
      </c>
      <c r="J33" s="303">
        <f t="shared" si="1"/>
        <v>0.7863527298185059</v>
      </c>
      <c r="K33" s="304">
        <f t="shared" si="1"/>
        <v>0.55583525430477509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djKEgt2UnWyA91dRnjDB32szwxAYm0m5217IC00DNhctY8o5jZPLI1KIDB/TMh1MT+vj16f0rSLmlkHMMXblA==" saltValue="5XSoeTFJRx9OXgzgzOUe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